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ept - Actuarial\Research\Tail Factors\"/>
    </mc:Choice>
  </mc:AlternateContent>
  <xr:revisionPtr revIDLastSave="0" documentId="13_ncr:1_{313EB7F1-B746-4B32-B066-78033663E802}" xr6:coauthVersionLast="47" xr6:coauthVersionMax="47" xr10:uidLastSave="{00000000-0000-0000-0000-000000000000}"/>
  <bookViews>
    <workbookView xWindow="1284" yWindow="168" windowWidth="21600" windowHeight="11328" tabRatio="810" activeTab="1" xr2:uid="{00000000-000D-0000-FFFF-FFFF00000000}"/>
  </bookViews>
  <sheets>
    <sheet name="10-Year Loss History" sheetId="1" r:id="rId1"/>
    <sheet name="BondyTest" sheetId="2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sList" hidden="1">16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'10-Year Loss History'!$B$5:$L$68</definedName>
    <definedName name="_xlnm.Print_Area" localSheetId="1">BondyTest!#REF!</definedName>
    <definedName name="_xlnm.Print_Titles" localSheetId="0">'10-Year Loss History'!$1:$4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olver_adj" localSheetId="1" hidden="1">BondyTest!$D$33</definedName>
    <definedName name="solver_cvg" localSheetId="1" hidden="1">0.000000000001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10000</definedName>
    <definedName name="solver_lhs1" localSheetId="1" hidden="1">BondyTest!$C$42:$C$50</definedName>
    <definedName name="solver_lhs2" localSheetId="1" hidden="1">BondyTest!$C$42:$C$50</definedName>
    <definedName name="solver_lhs3" localSheetId="1" hidden="1">BondyTest!$C$47</definedName>
    <definedName name="solver_lhs4" localSheetId="1" hidden="1">BondyTest!$C$47</definedName>
    <definedName name="solver_lhs5" localSheetId="1" hidden="1">BondyTest!$C$47</definedName>
    <definedName name="solver_lhs6" localSheetId="1" hidden="1">BondyTest!$C$47</definedName>
    <definedName name="solver_lhs7" localSheetId="1" hidden="1">BondyTest!$C$48</definedName>
    <definedName name="solver_lhs8" localSheetId="1" hidden="1">BondyTest!$C$49</definedName>
    <definedName name="solver_lhs9" localSheetId="1" hidden="1">BondyTest!$C$50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BondyTest!$E$31</definedName>
    <definedName name="solver_pre" localSheetId="1" hidden="1">0.000000000001</definedName>
    <definedName name="solver_rbv" localSheetId="1" hidden="1">1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el6" localSheetId="1" hidden="1">3</definedName>
    <definedName name="solver_rel7" localSheetId="1" hidden="1">3</definedName>
    <definedName name="solver_rel8" localSheetId="1" hidden="1">3</definedName>
    <definedName name="solver_rel9" localSheetId="1" hidden="1">3</definedName>
    <definedName name="solver_rhs1" localSheetId="1" hidden="1">1</definedName>
    <definedName name="solver_rhs2" localSheetId="1" hidden="1">1.5</definedName>
    <definedName name="solver_rhs3" localSheetId="1" hidden="1">0</definedName>
    <definedName name="solver_rhs4" localSheetId="1" hidden="1">0</definedName>
    <definedName name="solver_rhs5" localSheetId="1" hidden="1">0</definedName>
    <definedName name="solver_rhs6" localSheetId="1" hidden="1">0</definedName>
    <definedName name="solver_rhs7" localSheetId="1" hidden="1">0</definedName>
    <definedName name="solver_rhs8" localSheetId="1" hidden="1">0</definedName>
    <definedName name="solver_rhs9" localSheetId="1" hidden="1">0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C36" i="1"/>
  <c r="F22" i="22"/>
  <c r="F23" i="22" s="1"/>
  <c r="F24" i="22" s="1"/>
  <c r="F25" i="22" s="1"/>
  <c r="F26" i="22" s="1"/>
  <c r="F27" i="22" s="1"/>
  <c r="F28" i="22" s="1"/>
  <c r="F29" i="22" s="1"/>
  <c r="C31" i="1"/>
  <c r="X22" i="1"/>
  <c r="Y22" i="1"/>
  <c r="X23" i="1"/>
  <c r="Q22" i="1"/>
  <c r="R22" i="1"/>
  <c r="S22" i="1"/>
  <c r="T22" i="1"/>
  <c r="U22" i="1"/>
  <c r="V22" i="1"/>
  <c r="W22" i="1"/>
  <c r="Q23" i="1"/>
  <c r="R23" i="1"/>
  <c r="S23" i="1"/>
  <c r="T23" i="1"/>
  <c r="U23" i="1"/>
  <c r="V23" i="1"/>
  <c r="W23" i="1"/>
  <c r="Q24" i="1"/>
  <c r="R24" i="1"/>
  <c r="S24" i="1"/>
  <c r="T24" i="1"/>
  <c r="U24" i="1"/>
  <c r="V24" i="1"/>
  <c r="W24" i="1"/>
  <c r="Q25" i="1"/>
  <c r="R25" i="1"/>
  <c r="S25" i="1"/>
  <c r="T25" i="1"/>
  <c r="U25" i="1"/>
  <c r="V25" i="1"/>
  <c r="Q26" i="1"/>
  <c r="R26" i="1"/>
  <c r="S26" i="1"/>
  <c r="T26" i="1"/>
  <c r="U26" i="1"/>
  <c r="Q27" i="1"/>
  <c r="R27" i="1"/>
  <c r="S27" i="1"/>
  <c r="T27" i="1"/>
  <c r="Q28" i="1"/>
  <c r="R28" i="1"/>
  <c r="S28" i="1"/>
  <c r="Q29" i="1"/>
  <c r="R29" i="1"/>
  <c r="Q30" i="1"/>
  <c r="P23" i="1"/>
  <c r="P24" i="1"/>
  <c r="P25" i="1"/>
  <c r="P26" i="1"/>
  <c r="P27" i="1"/>
  <c r="P28" i="1"/>
  <c r="P29" i="1"/>
  <c r="P30" i="1"/>
  <c r="P31" i="1"/>
  <c r="P22" i="1"/>
  <c r="C19" i="22"/>
  <c r="Z8" i="1"/>
  <c r="X10" i="1"/>
  <c r="Y9" i="1"/>
  <c r="AB9" i="1" s="1"/>
  <c r="X9" i="1"/>
  <c r="Y8" i="1"/>
  <c r="X8" i="1"/>
  <c r="W11" i="1"/>
  <c r="AB11" i="1" s="1"/>
  <c r="W10" i="1"/>
  <c r="W9" i="1"/>
  <c r="W8" i="1"/>
  <c r="V12" i="1"/>
  <c r="V11" i="1"/>
  <c r="V10" i="1"/>
  <c r="V9" i="1"/>
  <c r="V8" i="1"/>
  <c r="U13" i="1"/>
  <c r="U12" i="1"/>
  <c r="U11" i="1"/>
  <c r="U10" i="1"/>
  <c r="U9" i="1"/>
  <c r="U8" i="1"/>
  <c r="T14" i="1"/>
  <c r="AB14" i="1" s="1"/>
  <c r="T13" i="1"/>
  <c r="T12" i="1"/>
  <c r="T11" i="1"/>
  <c r="T10" i="1"/>
  <c r="T9" i="1"/>
  <c r="T8" i="1"/>
  <c r="S15" i="1"/>
  <c r="S14" i="1"/>
  <c r="S13" i="1"/>
  <c r="S12" i="1"/>
  <c r="S11" i="1"/>
  <c r="S10" i="1"/>
  <c r="S9" i="1"/>
  <c r="S8" i="1"/>
  <c r="R9" i="1"/>
  <c r="R10" i="1"/>
  <c r="R11" i="1"/>
  <c r="R12" i="1"/>
  <c r="R13" i="1"/>
  <c r="R14" i="1"/>
  <c r="R15" i="1"/>
  <c r="R16" i="1"/>
  <c r="R8" i="1"/>
  <c r="Q9" i="1"/>
  <c r="Q10" i="1"/>
  <c r="Q11" i="1"/>
  <c r="Q12" i="1"/>
  <c r="Q13" i="1"/>
  <c r="Q14" i="1"/>
  <c r="Q15" i="1"/>
  <c r="Q16" i="1"/>
  <c r="Q17" i="1"/>
  <c r="Q8" i="1"/>
  <c r="AB13" i="1"/>
  <c r="P9" i="1"/>
  <c r="P10" i="1"/>
  <c r="P11" i="1" s="1"/>
  <c r="B66" i="22"/>
  <c r="E54" i="22"/>
  <c r="F54" i="22" s="1"/>
  <c r="AB12" i="1"/>
  <c r="H22" i="22"/>
  <c r="H23" i="22" s="1"/>
  <c r="H24" i="22" s="1"/>
  <c r="H25" i="22" s="1"/>
  <c r="H26" i="22" s="1"/>
  <c r="H27" i="22" s="1"/>
  <c r="H28" i="22" s="1"/>
  <c r="H29" i="22" s="1"/>
  <c r="D19" i="22"/>
  <c r="N17" i="1"/>
  <c r="C75" i="22" s="1"/>
  <c r="N16" i="1"/>
  <c r="C74" i="22" s="1"/>
  <c r="N15" i="1"/>
  <c r="C73" i="22" s="1"/>
  <c r="N14" i="1"/>
  <c r="C72" i="22" s="1"/>
  <c r="N13" i="1"/>
  <c r="C71" i="22" s="1"/>
  <c r="N12" i="1"/>
  <c r="C70" i="22" s="1"/>
  <c r="N11" i="1"/>
  <c r="C69" i="22" s="1"/>
  <c r="N10" i="1"/>
  <c r="C68" i="22" s="1"/>
  <c r="N9" i="1"/>
  <c r="C67" i="22" s="1"/>
  <c r="N8" i="1"/>
  <c r="C66" i="22" s="1"/>
  <c r="D8" i="22"/>
  <c r="E8" i="22" s="1"/>
  <c r="F8" i="22" s="1"/>
  <c r="G8" i="22" s="1"/>
  <c r="H8" i="22" s="1"/>
  <c r="I8" i="22" s="1"/>
  <c r="J8" i="22" s="1"/>
  <c r="K8" i="22" s="1"/>
  <c r="G33" i="1"/>
  <c r="I34" i="1"/>
  <c r="E19" i="22"/>
  <c r="F19" i="22" s="1"/>
  <c r="G19" i="22" s="1"/>
  <c r="H19" i="22" s="1"/>
  <c r="L59" i="22"/>
  <c r="M60" i="22" s="1"/>
  <c r="K59" i="22"/>
  <c r="D59" i="22"/>
  <c r="B42" i="22"/>
  <c r="F21" i="22"/>
  <c r="F59" i="22"/>
  <c r="E59" i="22"/>
  <c r="D7" i="1"/>
  <c r="E7" i="1" s="1"/>
  <c r="C29" i="1"/>
  <c r="D50" i="22"/>
  <c r="C28" i="1"/>
  <c r="D49" i="22" s="1"/>
  <c r="C27" i="1"/>
  <c r="D48" i="22" s="1"/>
  <c r="D28" i="1"/>
  <c r="D27" i="1"/>
  <c r="D26" i="1"/>
  <c r="E27" i="1"/>
  <c r="E26" i="1"/>
  <c r="F47" i="22" s="1"/>
  <c r="E25" i="1"/>
  <c r="F26" i="1"/>
  <c r="F25" i="1"/>
  <c r="F24" i="1"/>
  <c r="G25" i="1"/>
  <c r="G24" i="1"/>
  <c r="G23" i="1"/>
  <c r="H24" i="1"/>
  <c r="H23" i="1"/>
  <c r="H22" i="1"/>
  <c r="I23" i="1"/>
  <c r="I22" i="1"/>
  <c r="I21" i="1"/>
  <c r="J22" i="1"/>
  <c r="J21" i="1"/>
  <c r="J31" i="1" s="1"/>
  <c r="K21" i="1"/>
  <c r="K31" i="1" s="1"/>
  <c r="C33" i="1"/>
  <c r="D33" i="1"/>
  <c r="E33" i="1"/>
  <c r="F33" i="1"/>
  <c r="G32" i="1"/>
  <c r="H32" i="1"/>
  <c r="H33" i="1" s="1"/>
  <c r="I32" i="1"/>
  <c r="J32" i="1"/>
  <c r="K32" i="1"/>
  <c r="C21" i="1"/>
  <c r="C22" i="1"/>
  <c r="C23" i="1"/>
  <c r="C24" i="1"/>
  <c r="C25" i="1"/>
  <c r="C26" i="1"/>
  <c r="D21" i="1"/>
  <c r="D22" i="1"/>
  <c r="D23" i="1"/>
  <c r="D24" i="1"/>
  <c r="D25" i="1"/>
  <c r="E21" i="1"/>
  <c r="E31" i="1" s="1"/>
  <c r="E22" i="1"/>
  <c r="E23" i="1"/>
  <c r="E24" i="1"/>
  <c r="F21" i="1"/>
  <c r="F22" i="1"/>
  <c r="F23" i="1"/>
  <c r="G21" i="1"/>
  <c r="G22" i="1"/>
  <c r="H21" i="1"/>
  <c r="B21" i="1"/>
  <c r="B9" i="1"/>
  <c r="C32" i="1"/>
  <c r="D32" i="1"/>
  <c r="E32" i="1"/>
  <c r="F32" i="1"/>
  <c r="C34" i="1"/>
  <c r="D34" i="1"/>
  <c r="E34" i="1"/>
  <c r="F34" i="1"/>
  <c r="G34" i="1"/>
  <c r="H34" i="1"/>
  <c r="J33" i="1"/>
  <c r="H59" i="22"/>
  <c r="G59" i="22"/>
  <c r="C20" i="1"/>
  <c r="I59" i="22"/>
  <c r="J59" i="22"/>
  <c r="G30" i="22" l="1"/>
  <c r="L14" i="22" s="1"/>
  <c r="K33" i="1"/>
  <c r="AB17" i="1"/>
  <c r="E9" i="22"/>
  <c r="C23" i="22" s="1"/>
  <c r="D23" i="22" s="1"/>
  <c r="E23" i="22" s="1"/>
  <c r="J9" i="22"/>
  <c r="C28" i="22" s="1"/>
  <c r="D28" i="22" s="1"/>
  <c r="E28" i="22" s="1"/>
  <c r="P12" i="1"/>
  <c r="J34" i="1"/>
  <c r="AB15" i="1"/>
  <c r="H31" i="1"/>
  <c r="G31" i="1"/>
  <c r="D31" i="1"/>
  <c r="F31" i="1"/>
  <c r="AB8" i="1"/>
  <c r="R7" i="1"/>
  <c r="D41" i="22"/>
  <c r="D58" i="22" s="1"/>
  <c r="B21" i="22"/>
  <c r="B22" i="1"/>
  <c r="B67" i="22"/>
  <c r="B43" i="22"/>
  <c r="B10" i="1"/>
  <c r="C9" i="22"/>
  <c r="C21" i="22" s="1"/>
  <c r="D21" i="22" s="1"/>
  <c r="E21" i="22" s="1"/>
  <c r="K9" i="22"/>
  <c r="F46" i="22"/>
  <c r="F9" i="22"/>
  <c r="C24" i="22" s="1"/>
  <c r="D24" i="22" s="1"/>
  <c r="E24" i="22" s="1"/>
  <c r="G54" i="22"/>
  <c r="G46" i="22" s="1"/>
  <c r="F48" i="22"/>
  <c r="AB16" i="1"/>
  <c r="AB10" i="1"/>
  <c r="E47" i="22"/>
  <c r="E48" i="22"/>
  <c r="L60" i="22"/>
  <c r="L15" i="22"/>
  <c r="E49" i="22"/>
  <c r="F7" i="1"/>
  <c r="D20" i="1"/>
  <c r="I31" i="1"/>
  <c r="I33" i="1"/>
  <c r="K34" i="1"/>
  <c r="G29" i="22" l="1"/>
  <c r="K14" i="22" s="1"/>
  <c r="D9" i="22"/>
  <c r="C22" i="22" s="1"/>
  <c r="D22" i="22" s="1"/>
  <c r="E22" i="22" s="1"/>
  <c r="P13" i="1"/>
  <c r="H9" i="22"/>
  <c r="C26" i="22" s="1"/>
  <c r="D26" i="22" s="1"/>
  <c r="E26" i="22" s="1"/>
  <c r="G9" i="22"/>
  <c r="C25" i="22" s="1"/>
  <c r="D25" i="22" s="1"/>
  <c r="E25" i="22" s="1"/>
  <c r="I9" i="22"/>
  <c r="C27" i="22" s="1"/>
  <c r="D27" i="22" s="1"/>
  <c r="E27" i="22" s="1"/>
  <c r="G7" i="1"/>
  <c r="E20" i="1"/>
  <c r="K60" i="22"/>
  <c r="K15" i="22"/>
  <c r="L13" i="22"/>
  <c r="K13" i="22" s="1"/>
  <c r="J13" i="22" s="1"/>
  <c r="L12" i="22"/>
  <c r="K12" i="22" s="1"/>
  <c r="J12" i="22" s="1"/>
  <c r="C29" i="22"/>
  <c r="D29" i="22" s="1"/>
  <c r="E29" i="22" s="1"/>
  <c r="L11" i="22"/>
  <c r="K11" i="22" s="1"/>
  <c r="J11" i="22" s="1"/>
  <c r="B68" i="22"/>
  <c r="B44" i="22"/>
  <c r="B11" i="1"/>
  <c r="B23" i="1"/>
  <c r="H54" i="22"/>
  <c r="G45" i="22"/>
  <c r="B22" i="22"/>
  <c r="S7" i="1"/>
  <c r="E41" i="22"/>
  <c r="E58" i="22" s="1"/>
  <c r="G47" i="22"/>
  <c r="P14" i="1"/>
  <c r="G28" i="22" l="1"/>
  <c r="J14" i="22" s="1"/>
  <c r="E31" i="22"/>
  <c r="I13" i="22"/>
  <c r="H13" i="22" s="1"/>
  <c r="G13" i="22" s="1"/>
  <c r="F13" i="22" s="1"/>
  <c r="E13" i="22" s="1"/>
  <c r="D13" i="22" s="1"/>
  <c r="C13" i="22" s="1"/>
  <c r="P15" i="1"/>
  <c r="T7" i="1"/>
  <c r="B23" i="22"/>
  <c r="F41" i="22"/>
  <c r="F58" i="22" s="1"/>
  <c r="H7" i="1"/>
  <c r="G20" i="1"/>
  <c r="B69" i="22"/>
  <c r="B24" i="1"/>
  <c r="B12" i="1"/>
  <c r="B45" i="22"/>
  <c r="I11" i="22"/>
  <c r="H11" i="22" s="1"/>
  <c r="G11" i="22" s="1"/>
  <c r="F11" i="22" s="1"/>
  <c r="E11" i="22" s="1"/>
  <c r="D11" i="22" s="1"/>
  <c r="C11" i="22" s="1"/>
  <c r="H46" i="22"/>
  <c r="I54" i="22"/>
  <c r="H45" i="22"/>
  <c r="H44" i="22"/>
  <c r="I12" i="22"/>
  <c r="H12" i="22" s="1"/>
  <c r="G12" i="22" s="1"/>
  <c r="F12" i="22" s="1"/>
  <c r="E12" i="22" s="1"/>
  <c r="D12" i="22" s="1"/>
  <c r="C12" i="22" s="1"/>
  <c r="J15" i="22"/>
  <c r="J60" i="22"/>
  <c r="F20" i="1"/>
  <c r="G27" i="22" l="1"/>
  <c r="I14" i="22" s="1"/>
  <c r="J54" i="22"/>
  <c r="I43" i="22"/>
  <c r="I45" i="22"/>
  <c r="I44" i="22"/>
  <c r="B25" i="1"/>
  <c r="B13" i="1"/>
  <c r="B70" i="22"/>
  <c r="B46" i="22"/>
  <c r="I7" i="1"/>
  <c r="H20" i="1"/>
  <c r="P16" i="1"/>
  <c r="G41" i="22"/>
  <c r="G58" i="22" s="1"/>
  <c r="U7" i="1"/>
  <c r="B24" i="22"/>
  <c r="V7" i="1"/>
  <c r="B25" i="22"/>
  <c r="H41" i="22"/>
  <c r="H58" i="22" s="1"/>
  <c r="I60" i="22"/>
  <c r="I15" i="22"/>
  <c r="G26" i="22" l="1"/>
  <c r="G25" i="22" s="1"/>
  <c r="B71" i="22"/>
  <c r="B26" i="1"/>
  <c r="B14" i="1"/>
  <c r="B47" i="22"/>
  <c r="H60" i="22"/>
  <c r="H15" i="22"/>
  <c r="J44" i="22"/>
  <c r="K54" i="22"/>
  <c r="J42" i="22"/>
  <c r="J43" i="22"/>
  <c r="P17" i="1"/>
  <c r="B26" i="22"/>
  <c r="W7" i="1"/>
  <c r="I41" i="22"/>
  <c r="I58" i="22" s="1"/>
  <c r="J7" i="1"/>
  <c r="I20" i="1" s="1"/>
  <c r="H14" i="22" l="1"/>
  <c r="G24" i="22"/>
  <c r="G14" i="22"/>
  <c r="X7" i="1"/>
  <c r="J41" i="22"/>
  <c r="J58" i="22" s="1"/>
  <c r="B27" i="22"/>
  <c r="L54" i="22"/>
  <c r="L42" i="22" s="1"/>
  <c r="K43" i="22"/>
  <c r="K42" i="22"/>
  <c r="B15" i="1"/>
  <c r="B27" i="1"/>
  <c r="B72" i="22"/>
  <c r="B48" i="22"/>
  <c r="G60" i="22"/>
  <c r="G15" i="22"/>
  <c r="K7" i="1"/>
  <c r="J20" i="1"/>
  <c r="D56" i="22" l="1"/>
  <c r="G23" i="22"/>
  <c r="F14" i="22"/>
  <c r="B16" i="1"/>
  <c r="B73" i="22"/>
  <c r="B49" i="22"/>
  <c r="B28" i="1"/>
  <c r="B28" i="22"/>
  <c r="K41" i="22"/>
  <c r="K58" i="22" s="1"/>
  <c r="Y7" i="1"/>
  <c r="F60" i="22"/>
  <c r="F15" i="22"/>
  <c r="L7" i="1"/>
  <c r="K20" i="1"/>
  <c r="G22" i="22" l="1"/>
  <c r="G21" i="22" s="1"/>
  <c r="E14" i="22"/>
  <c r="B29" i="22"/>
  <c r="Z7" i="1"/>
  <c r="L41" i="22"/>
  <c r="L58" i="22" s="1"/>
  <c r="E60" i="22"/>
  <c r="E15" i="22"/>
  <c r="B74" i="22"/>
  <c r="B29" i="1"/>
  <c r="B50" i="22"/>
  <c r="B17" i="1"/>
  <c r="D14" i="22" l="1"/>
  <c r="M74" i="22" s="1"/>
  <c r="G74" i="22" s="1"/>
  <c r="C14" i="22"/>
  <c r="B75" i="22"/>
  <c r="L74" i="22"/>
  <c r="F74" i="22" s="1"/>
  <c r="J74" i="22"/>
  <c r="D74" i="22" s="1"/>
  <c r="N74" i="22"/>
  <c r="H74" i="22" s="1"/>
  <c r="K74" i="22"/>
  <c r="E74" i="22" s="1"/>
  <c r="N69" i="22"/>
  <c r="H69" i="22" s="1"/>
  <c r="M68" i="22"/>
  <c r="G68" i="22" s="1"/>
  <c r="K68" i="22"/>
  <c r="E68" i="22" s="1"/>
  <c r="J68" i="22"/>
  <c r="D68" i="22" s="1"/>
  <c r="N70" i="22"/>
  <c r="H70" i="22" s="1"/>
  <c r="K70" i="22"/>
  <c r="E70" i="22" s="1"/>
  <c r="N67" i="22"/>
  <c r="H67" i="22" s="1"/>
  <c r="L71" i="22"/>
  <c r="F71" i="22" s="1"/>
  <c r="J71" i="22"/>
  <c r="D71" i="22" s="1"/>
  <c r="K72" i="22"/>
  <c r="E72" i="22" s="1"/>
  <c r="L67" i="22"/>
  <c r="F67" i="22" s="1"/>
  <c r="L70" i="22"/>
  <c r="F70" i="22" s="1"/>
  <c r="L68" i="22"/>
  <c r="F68" i="22" s="1"/>
  <c r="N71" i="22"/>
  <c r="H71" i="22" s="1"/>
  <c r="L69" i="22"/>
  <c r="F69" i="22" s="1"/>
  <c r="M69" i="22"/>
  <c r="G69" i="22" s="1"/>
  <c r="J70" i="22"/>
  <c r="D70" i="22" s="1"/>
  <c r="J72" i="22"/>
  <c r="D72" i="22" s="1"/>
  <c r="D15" i="22"/>
  <c r="D60" i="22"/>
  <c r="C15" i="22" s="1"/>
  <c r="J73" i="22"/>
  <c r="D73" i="22" s="1"/>
  <c r="J75" i="22" l="1"/>
  <c r="D75" i="22" s="1"/>
  <c r="N75" i="22"/>
  <c r="H75" i="22" s="1"/>
  <c r="L75" i="22"/>
  <c r="F75" i="22" s="1"/>
  <c r="K75" i="22"/>
  <c r="E75" i="22" s="1"/>
  <c r="M75" i="22"/>
  <c r="G75" i="22" s="1"/>
  <c r="J66" i="22"/>
  <c r="D66" i="22" s="1"/>
  <c r="J69" i="22"/>
  <c r="D69" i="22" s="1"/>
  <c r="N66" i="22"/>
  <c r="H66" i="22" s="1"/>
  <c r="J67" i="22"/>
  <c r="D67" i="22" s="1"/>
  <c r="N68" i="22"/>
  <c r="H68" i="22" s="1"/>
  <c r="K67" i="22"/>
  <c r="E67" i="22" s="1"/>
  <c r="K66" i="22"/>
  <c r="E66" i="22" s="1"/>
  <c r="N73" i="22"/>
  <c r="H73" i="22" s="1"/>
  <c r="M71" i="22"/>
  <c r="G71" i="22" s="1"/>
  <c r="M67" i="22"/>
  <c r="G67" i="22" s="1"/>
  <c r="K71" i="22"/>
  <c r="E71" i="22" s="1"/>
  <c r="L66" i="22"/>
  <c r="F66" i="22" s="1"/>
  <c r="N72" i="22"/>
  <c r="H72" i="22" s="1"/>
  <c r="L73" i="22"/>
  <c r="F73" i="22" s="1"/>
  <c r="K73" i="22"/>
  <c r="E73" i="22" s="1"/>
  <c r="M66" i="22"/>
  <c r="G66" i="22" s="1"/>
  <c r="K69" i="22"/>
  <c r="E69" i="22" s="1"/>
  <c r="M70" i="22"/>
  <c r="G70" i="22" s="1"/>
  <c r="L72" i="22"/>
  <c r="F72" i="22" s="1"/>
  <c r="M72" i="22"/>
  <c r="G72" i="22" s="1"/>
  <c r="M73" i="22"/>
  <c r="G73" i="22" s="1"/>
</calcChain>
</file>

<file path=xl/sharedStrings.xml><?xml version="1.0" encoding="utf-8"?>
<sst xmlns="http://schemas.openxmlformats.org/spreadsheetml/2006/main" count="81" uniqueCount="60">
  <si>
    <t>Accident Year</t>
  </si>
  <si>
    <t>Selected</t>
  </si>
  <si>
    <t>5 Year Volume Weighted</t>
  </si>
  <si>
    <t>Volume Weighted Average</t>
  </si>
  <si>
    <t>3 Year Volume Weighted</t>
  </si>
  <si>
    <t>Estimated Ratio for 12-24</t>
  </si>
  <si>
    <t>Minimum Least Squares</t>
  </si>
  <si>
    <t xml:space="preserve">Bondy Parameter </t>
  </si>
  <si>
    <t>Generalized</t>
  </si>
  <si>
    <t>Incremental Paid Loss</t>
  </si>
  <si>
    <t>Total</t>
  </si>
  <si>
    <t>Cumulative Paid Loss Data</t>
  </si>
  <si>
    <t>Paid Loss Development Triangle</t>
  </si>
  <si>
    <t>CAS Tail Factor Working Party</t>
  </si>
  <si>
    <t>Data Entry Worksheet</t>
  </si>
  <si>
    <t>Selected LDF</t>
  </si>
  <si>
    <t>The Estimation of Loss Development Tail Factors: A Summary Report</t>
  </si>
  <si>
    <t>Factor to Ultimate</t>
  </si>
  <si>
    <t>Straight Average</t>
  </si>
  <si>
    <t>Fitted LDF</t>
  </si>
  <si>
    <t>Period</t>
  </si>
  <si>
    <t>Original</t>
  </si>
  <si>
    <t>Fully Generalized</t>
  </si>
  <si>
    <t>Generalized Bondy: Parameters and Development Factors</t>
  </si>
  <si>
    <t>Fully Generalized Bondy:Parameters, Development Factors, and Squared Error</t>
  </si>
  <si>
    <t>Bondy Method</t>
  </si>
  <si>
    <t>Selected Paid Loss Development Factor</t>
  </si>
  <si>
    <t>Current</t>
  </si>
  <si>
    <t>Tail</t>
  </si>
  <si>
    <t>Bondy Estimated Age-Ultimate</t>
  </si>
  <si>
    <t>= Prior A-A</t>
  </si>
  <si>
    <t>= (Prior A-A)^2</t>
  </si>
  <si>
    <t>Modified 1</t>
  </si>
  <si>
    <t>Modified 2</t>
  </si>
  <si>
    <t>= (Prior A-A) * 2</t>
  </si>
  <si>
    <t>LDF</t>
  </si>
  <si>
    <t>Index</t>
  </si>
  <si>
    <t>Index i</t>
  </si>
  <si>
    <t>Fitted A-A</t>
  </si>
  <si>
    <t>Formula 2.6</t>
  </si>
  <si>
    <t>Fitted A-U</t>
  </si>
  <si>
    <t>= [Last AA ^ (B / 1 - B)]</t>
  </si>
  <si>
    <t>Accident</t>
  </si>
  <si>
    <t>Year</t>
  </si>
  <si>
    <t>Parameter</t>
  </si>
  <si>
    <t>Estimate (d)</t>
  </si>
  <si>
    <t>=[Ln(Actual AA) - Ln(d)*B^(Index - 1)]^2</t>
  </si>
  <si>
    <t>Note: Must use "Solver" to minimize least squares [Sum of triangle]</t>
  </si>
  <si>
    <t>Summary of Bondy Results</t>
  </si>
  <si>
    <t>Paid Loss</t>
  </si>
  <si>
    <t>Fully</t>
  </si>
  <si>
    <t>A-U</t>
  </si>
  <si>
    <t>Indicated Ultimate Loss</t>
  </si>
  <si>
    <t>Bondy:</t>
  </si>
  <si>
    <t>0 - 12</t>
  </si>
  <si>
    <r>
      <t xml:space="preserve">= </t>
    </r>
    <r>
      <rPr>
        <i/>
        <sz val="8.5"/>
        <rFont val="Times New Roman"/>
        <family val="1"/>
      </rPr>
      <t>B</t>
    </r>
  </si>
  <si>
    <r>
      <t xml:space="preserve">= </t>
    </r>
    <r>
      <rPr>
        <i/>
        <sz val="8.5"/>
        <rFont val="Times New Roman"/>
        <family val="1"/>
      </rPr>
      <t>dˆ</t>
    </r>
  </si>
  <si>
    <t>Ln (2)</t>
  </si>
  <si>
    <t>Note: Must use "Solver" to minimize least squares [Sum of (4)]</t>
  </si>
  <si>
    <t>The Python chain-ladder package results in a Bondy parameter of 0.624614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</si>
</sst>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.000"/>
    <numFmt numFmtId="165" formatCode="0.000"/>
    <numFmt numFmtId="173" formatCode="0.000000000000"/>
    <numFmt numFmtId="174" formatCode="_(* #,##0.000_);_(* \(#,##0.000\);_(* &quot;-&quot;??_);_(@_)"/>
    <numFmt numFmtId="175" formatCode="\(#\)"/>
    <numFmt numFmtId="176" formatCode="#,##0.000_);\(#,##0.000\)"/>
    <numFmt numFmtId="177" formatCode="#,##0.000000_);\(#,##0.000000\)"/>
    <numFmt numFmtId="178" formatCode="#,##0.0000"/>
    <numFmt numFmtId="179" formatCode="#,##0.000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8.5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174" fontId="5" fillId="0" borderId="0" xfId="1" applyNumberFormat="1" applyFont="1" applyFill="1" applyBorder="1"/>
    <xf numFmtId="174" fontId="13" fillId="0" borderId="0" xfId="1" applyNumberFormat="1" applyFont="1" applyFill="1" applyBorder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7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74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quotePrefix="1" applyFont="1"/>
    <xf numFmtId="0" fontId="7" fillId="0" borderId="0" xfId="0" applyFont="1" applyAlignment="1">
      <alignment horizontal="left"/>
    </xf>
    <xf numFmtId="164" fontId="10" fillId="0" borderId="0" xfId="0" applyNumberFormat="1" applyFont="1"/>
    <xf numFmtId="0" fontId="10" fillId="0" borderId="0" xfId="0" quotePrefix="1" applyFont="1"/>
    <xf numFmtId="0" fontId="7" fillId="0" borderId="0" xfId="0" quotePrefix="1" applyFont="1" applyAlignment="1">
      <alignment horizontal="left"/>
    </xf>
    <xf numFmtId="176" fontId="5" fillId="0" borderId="0" xfId="1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>
      <alignment horizontal="center"/>
    </xf>
    <xf numFmtId="39" fontId="5" fillId="0" borderId="0" xfId="1" applyNumberFormat="1" applyFont="1" applyFill="1" applyBorder="1" applyAlignment="1">
      <alignment horizontal="center"/>
    </xf>
    <xf numFmtId="0" fontId="11" fillId="0" borderId="3" xfId="0" quotePrefix="1" applyFont="1" applyBorder="1" applyAlignment="1">
      <alignment vertical="center"/>
    </xf>
    <xf numFmtId="174" fontId="5" fillId="0" borderId="0" xfId="1" applyNumberFormat="1" applyFont="1" applyFill="1" applyBorder="1" applyAlignment="1"/>
    <xf numFmtId="0" fontId="7" fillId="0" borderId="0" xfId="0" quotePrefix="1" applyFont="1"/>
    <xf numFmtId="174" fontId="5" fillId="0" borderId="0" xfId="1" quotePrefix="1" applyNumberFormat="1" applyFont="1" applyFill="1" applyBorder="1" applyAlignment="1"/>
    <xf numFmtId="0" fontId="13" fillId="0" borderId="0" xfId="0" applyFont="1" applyAlignment="1">
      <alignment horizontal="center" vertical="center"/>
    </xf>
    <xf numFmtId="174" fontId="13" fillId="0" borderId="0" xfId="1" applyNumberFormat="1" applyFont="1" applyFill="1" applyBorder="1" applyAlignment="1">
      <alignment horizontal="center" vertical="center"/>
    </xf>
    <xf numFmtId="174" fontId="15" fillId="0" borderId="0" xfId="1" applyNumberFormat="1" applyFont="1" applyFill="1" applyBorder="1" applyAlignment="1">
      <alignment horizontal="center"/>
    </xf>
    <xf numFmtId="173" fontId="5" fillId="0" borderId="0" xfId="0" applyNumberFormat="1" applyFont="1"/>
    <xf numFmtId="0" fontId="10" fillId="0" borderId="4" xfId="0" applyFont="1" applyBorder="1" applyAlignment="1">
      <alignment vertical="center"/>
    </xf>
    <xf numFmtId="164" fontId="15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174" fontId="5" fillId="0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4" fontId="16" fillId="0" borderId="1" xfId="1" quotePrefix="1" applyNumberFormat="1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79" fontId="10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/>
    <xf numFmtId="179" fontId="15" fillId="0" borderId="0" xfId="0" applyNumberFormat="1" applyFont="1" applyAlignment="1">
      <alignment horizontal="center"/>
    </xf>
    <xf numFmtId="178" fontId="5" fillId="0" borderId="0" xfId="0" applyNumberFormat="1" applyFont="1" applyFill="1" applyAlignment="1">
      <alignment horizontal="center"/>
    </xf>
    <xf numFmtId="0" fontId="5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B81"/>
  <sheetViews>
    <sheetView zoomScale="70" zoomScaleNormal="70" workbookViewId="0">
      <selection activeCell="L12" sqref="L12"/>
    </sheetView>
  </sheetViews>
  <sheetFormatPr defaultColWidth="9.109375" defaultRowHeight="13.2" x14ac:dyDescent="0.25"/>
  <cols>
    <col min="1" max="1" width="9.109375" style="2"/>
    <col min="2" max="2" width="24.33203125" style="2" bestFit="1" customWidth="1"/>
    <col min="3" max="12" width="9.33203125" style="2" customWidth="1"/>
    <col min="13" max="13" width="1.6640625" style="2" customWidth="1"/>
    <col min="14" max="15" width="9.109375" style="2"/>
    <col min="16" max="16" width="12.88671875" style="2" bestFit="1" customWidth="1"/>
    <col min="17" max="26" width="9.109375" style="2"/>
    <col min="27" max="27" width="2.44140625" style="2" customWidth="1"/>
    <col min="28" max="16384" width="9.109375" style="2"/>
  </cols>
  <sheetData>
    <row r="1" spans="2:28" s="1" customFormat="1" ht="18" x14ac:dyDescent="0.35">
      <c r="B1" s="44" t="s">
        <v>16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28" s="1" customFormat="1" ht="18" x14ac:dyDescent="0.35">
      <c r="B2" s="45" t="s">
        <v>13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28" x14ac:dyDescent="0.25">
      <c r="B3" s="46" t="s">
        <v>14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6" spans="2:28" x14ac:dyDescent="0.25">
      <c r="B6" s="47" t="s">
        <v>11</v>
      </c>
      <c r="C6" s="46"/>
      <c r="D6" s="46"/>
      <c r="E6" s="46"/>
      <c r="F6" s="46"/>
      <c r="G6" s="46"/>
      <c r="H6" s="46"/>
      <c r="I6" s="46"/>
      <c r="J6" s="46"/>
      <c r="K6" s="46"/>
      <c r="L6" s="46"/>
      <c r="P6" s="46" t="s">
        <v>9</v>
      </c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2:28" x14ac:dyDescent="0.25">
      <c r="B7" s="3" t="s">
        <v>0</v>
      </c>
      <c r="C7" s="42">
        <v>12</v>
      </c>
      <c r="D7" s="42">
        <f>C7+12</f>
        <v>24</v>
      </c>
      <c r="E7" s="42">
        <f t="shared" ref="E7:K7" si="0">D7+12</f>
        <v>36</v>
      </c>
      <c r="F7" s="42">
        <f t="shared" si="0"/>
        <v>48</v>
      </c>
      <c r="G7" s="42">
        <f t="shared" si="0"/>
        <v>60</v>
      </c>
      <c r="H7" s="42">
        <f t="shared" si="0"/>
        <v>72</v>
      </c>
      <c r="I7" s="42">
        <f t="shared" si="0"/>
        <v>84</v>
      </c>
      <c r="J7" s="42">
        <f t="shared" si="0"/>
        <v>96</v>
      </c>
      <c r="K7" s="42">
        <f t="shared" si="0"/>
        <v>108</v>
      </c>
      <c r="L7" s="42">
        <f>K7+12</f>
        <v>120</v>
      </c>
      <c r="N7" s="42" t="s">
        <v>27</v>
      </c>
      <c r="P7" s="3" t="s">
        <v>0</v>
      </c>
      <c r="Q7" s="43" t="s">
        <v>54</v>
      </c>
      <c r="R7" s="42" t="str">
        <f>C20</f>
        <v>12-24</v>
      </c>
      <c r="S7" s="42" t="str">
        <f t="shared" ref="S7:Z7" si="1">D20</f>
        <v>24-36</v>
      </c>
      <c r="T7" s="42" t="str">
        <f t="shared" si="1"/>
        <v>36-48</v>
      </c>
      <c r="U7" s="42" t="str">
        <f t="shared" si="1"/>
        <v>48-60</v>
      </c>
      <c r="V7" s="42" t="str">
        <f t="shared" si="1"/>
        <v>60-72</v>
      </c>
      <c r="W7" s="42" t="str">
        <f t="shared" si="1"/>
        <v>72-84</v>
      </c>
      <c r="X7" s="42" t="str">
        <f t="shared" si="1"/>
        <v>84-96</v>
      </c>
      <c r="Y7" s="42" t="str">
        <f t="shared" si="1"/>
        <v>96-108</v>
      </c>
      <c r="Z7" s="42" t="str">
        <f t="shared" si="1"/>
        <v>108-120</v>
      </c>
      <c r="AB7" s="42" t="s">
        <v>27</v>
      </c>
    </row>
    <row r="8" spans="2:28" x14ac:dyDescent="0.25">
      <c r="B8" s="8">
        <v>2000</v>
      </c>
      <c r="C8" s="19">
        <v>1202</v>
      </c>
      <c r="D8" s="19">
        <v>2685</v>
      </c>
      <c r="E8" s="19">
        <v>4132</v>
      </c>
      <c r="F8" s="19">
        <v>5323</v>
      </c>
      <c r="G8" s="19">
        <v>6059</v>
      </c>
      <c r="H8" s="19">
        <v>6406</v>
      </c>
      <c r="I8" s="19">
        <v>6812</v>
      </c>
      <c r="J8" s="19">
        <v>7208</v>
      </c>
      <c r="K8" s="19">
        <v>7440</v>
      </c>
      <c r="L8" s="19">
        <v>7618</v>
      </c>
      <c r="N8" s="7">
        <f>L8</f>
        <v>7618</v>
      </c>
      <c r="P8" s="8">
        <v>2000</v>
      </c>
      <c r="Q8" s="19">
        <f>C8</f>
        <v>1202</v>
      </c>
      <c r="R8" s="19">
        <f>D8-C8</f>
        <v>1483</v>
      </c>
      <c r="S8" s="19">
        <f>E8-D8</f>
        <v>1447</v>
      </c>
      <c r="T8" s="19">
        <f>F8-E8</f>
        <v>1191</v>
      </c>
      <c r="U8" s="19">
        <f t="shared" ref="U8:U13" si="2">G8-F8</f>
        <v>736</v>
      </c>
      <c r="V8" s="19">
        <f>H8-G8</f>
        <v>347</v>
      </c>
      <c r="W8" s="19">
        <f>I8-H8</f>
        <v>406</v>
      </c>
      <c r="X8" s="19">
        <f>J8-I8</f>
        <v>396</v>
      </c>
      <c r="Y8" s="19">
        <f>K8-J8</f>
        <v>232</v>
      </c>
      <c r="Z8" s="19">
        <f>L8-K8</f>
        <v>178</v>
      </c>
      <c r="AB8" s="7">
        <f>Z8</f>
        <v>178</v>
      </c>
    </row>
    <row r="9" spans="2:28" x14ac:dyDescent="0.25">
      <c r="B9" s="8">
        <f>B8+1</f>
        <v>2001</v>
      </c>
      <c r="C9" s="19">
        <v>1297</v>
      </c>
      <c r="D9" s="19">
        <v>2712</v>
      </c>
      <c r="E9" s="19">
        <v>4232</v>
      </c>
      <c r="F9" s="19">
        <v>5314</v>
      </c>
      <c r="G9" s="19">
        <v>6062</v>
      </c>
      <c r="H9" s="19">
        <v>6786</v>
      </c>
      <c r="I9" s="19">
        <v>7375</v>
      </c>
      <c r="J9" s="19">
        <v>7687</v>
      </c>
      <c r="K9" s="19">
        <v>7934</v>
      </c>
      <c r="L9" s="19"/>
      <c r="N9" s="7">
        <f>K9</f>
        <v>7934</v>
      </c>
      <c r="P9" s="8">
        <f>P8+1</f>
        <v>2001</v>
      </c>
      <c r="Q9" s="19">
        <f t="shared" ref="Q9:Q17" si="3">C9</f>
        <v>1297</v>
      </c>
      <c r="R9" s="19">
        <f t="shared" ref="R9:T16" si="4">D9-C9</f>
        <v>1415</v>
      </c>
      <c r="S9" s="19">
        <f t="shared" si="4"/>
        <v>1520</v>
      </c>
      <c r="T9" s="19">
        <f t="shared" si="4"/>
        <v>1082</v>
      </c>
      <c r="U9" s="19">
        <f t="shared" si="2"/>
        <v>748</v>
      </c>
      <c r="V9" s="19">
        <f>H9-G9</f>
        <v>724</v>
      </c>
      <c r="W9" s="19">
        <f>I9-H9</f>
        <v>589</v>
      </c>
      <c r="X9" s="19">
        <f>J9-I9</f>
        <v>312</v>
      </c>
      <c r="Y9" s="19">
        <f>K9-J9</f>
        <v>247</v>
      </c>
      <c r="Z9" s="19"/>
      <c r="AB9" s="7">
        <f>Y9</f>
        <v>247</v>
      </c>
    </row>
    <row r="10" spans="2:28" x14ac:dyDescent="0.25">
      <c r="B10" s="8">
        <f t="shared" ref="B10:B17" si="5">B9+1</f>
        <v>2002</v>
      </c>
      <c r="C10" s="19">
        <v>1342</v>
      </c>
      <c r="D10" s="19">
        <v>2566</v>
      </c>
      <c r="E10" s="19">
        <v>4058</v>
      </c>
      <c r="F10" s="19">
        <v>5388</v>
      </c>
      <c r="G10" s="19">
        <v>6480</v>
      </c>
      <c r="H10" s="19">
        <v>7141</v>
      </c>
      <c r="I10" s="19">
        <v>7801</v>
      </c>
      <c r="J10" s="19">
        <v>8109</v>
      </c>
      <c r="K10" s="19"/>
      <c r="L10" s="19"/>
      <c r="N10" s="7">
        <f>J10</f>
        <v>8109</v>
      </c>
      <c r="P10" s="8">
        <f t="shared" ref="P10:P17" si="6">P9+1</f>
        <v>2002</v>
      </c>
      <c r="Q10" s="19">
        <f t="shared" si="3"/>
        <v>1342</v>
      </c>
      <c r="R10" s="19">
        <f t="shared" si="4"/>
        <v>1224</v>
      </c>
      <c r="S10" s="19">
        <f t="shared" si="4"/>
        <v>1492</v>
      </c>
      <c r="T10" s="19">
        <f t="shared" si="4"/>
        <v>1330</v>
      </c>
      <c r="U10" s="19">
        <f t="shared" si="2"/>
        <v>1092</v>
      </c>
      <c r="V10" s="19">
        <f>H10-G10</f>
        <v>661</v>
      </c>
      <c r="W10" s="19">
        <f>I10-H10</f>
        <v>660</v>
      </c>
      <c r="X10" s="19">
        <f>J10-I10</f>
        <v>308</v>
      </c>
      <c r="Y10" s="19"/>
      <c r="Z10" s="19"/>
      <c r="AB10" s="7">
        <f>X10</f>
        <v>308</v>
      </c>
    </row>
    <row r="11" spans="2:28" x14ac:dyDescent="0.25">
      <c r="B11" s="8">
        <f t="shared" si="5"/>
        <v>2003</v>
      </c>
      <c r="C11" s="19">
        <v>1293</v>
      </c>
      <c r="D11" s="19">
        <v>2716</v>
      </c>
      <c r="E11" s="19">
        <v>4228</v>
      </c>
      <c r="F11" s="19">
        <v>5587</v>
      </c>
      <c r="G11" s="19">
        <v>6661</v>
      </c>
      <c r="H11" s="19">
        <v>7626</v>
      </c>
      <c r="I11" s="19">
        <v>8040</v>
      </c>
      <c r="J11" s="19"/>
      <c r="K11" s="19"/>
      <c r="L11" s="19"/>
      <c r="N11" s="7">
        <f>I11</f>
        <v>8040</v>
      </c>
      <c r="P11" s="8">
        <f t="shared" si="6"/>
        <v>2003</v>
      </c>
      <c r="Q11" s="19">
        <f t="shared" si="3"/>
        <v>1293</v>
      </c>
      <c r="R11" s="19">
        <f t="shared" si="4"/>
        <v>1423</v>
      </c>
      <c r="S11" s="19">
        <f t="shared" si="4"/>
        <v>1512</v>
      </c>
      <c r="T11" s="19">
        <f t="shared" si="4"/>
        <v>1359</v>
      </c>
      <c r="U11" s="19">
        <f t="shared" si="2"/>
        <v>1074</v>
      </c>
      <c r="V11" s="19">
        <f>H11-G11</f>
        <v>965</v>
      </c>
      <c r="W11" s="19">
        <f>I11-H11</f>
        <v>414</v>
      </c>
      <c r="X11" s="19"/>
      <c r="Y11" s="19"/>
      <c r="Z11" s="19"/>
      <c r="AB11" s="7">
        <f>W11</f>
        <v>414</v>
      </c>
    </row>
    <row r="12" spans="2:28" x14ac:dyDescent="0.25">
      <c r="B12" s="8">
        <f t="shared" si="5"/>
        <v>2004</v>
      </c>
      <c r="C12" s="19">
        <v>1387</v>
      </c>
      <c r="D12" s="19">
        <v>2555</v>
      </c>
      <c r="E12" s="19">
        <v>4017</v>
      </c>
      <c r="F12" s="19">
        <v>5460</v>
      </c>
      <c r="G12" s="19">
        <v>6743</v>
      </c>
      <c r="H12" s="19">
        <v>7479</v>
      </c>
      <c r="I12" s="19"/>
      <c r="J12" s="19"/>
      <c r="K12" s="19"/>
      <c r="L12" s="19"/>
      <c r="N12" s="7">
        <f>H12</f>
        <v>7479</v>
      </c>
      <c r="P12" s="8">
        <f t="shared" si="6"/>
        <v>2004</v>
      </c>
      <c r="Q12" s="19">
        <f t="shared" si="3"/>
        <v>1387</v>
      </c>
      <c r="R12" s="19">
        <f t="shared" si="4"/>
        <v>1168</v>
      </c>
      <c r="S12" s="19">
        <f t="shared" si="4"/>
        <v>1462</v>
      </c>
      <c r="T12" s="19">
        <f t="shared" si="4"/>
        <v>1443</v>
      </c>
      <c r="U12" s="19">
        <f t="shared" si="2"/>
        <v>1283</v>
      </c>
      <c r="V12" s="19">
        <f>H12-G12</f>
        <v>736</v>
      </c>
      <c r="W12" s="19"/>
      <c r="X12" s="19"/>
      <c r="Y12" s="19"/>
      <c r="Z12" s="19"/>
      <c r="AB12" s="7">
        <f>V12</f>
        <v>736</v>
      </c>
    </row>
    <row r="13" spans="2:28" x14ac:dyDescent="0.25">
      <c r="B13" s="8">
        <f t="shared" si="5"/>
        <v>2005</v>
      </c>
      <c r="C13" s="19">
        <v>1487</v>
      </c>
      <c r="D13" s="19">
        <v>2738</v>
      </c>
      <c r="E13" s="19">
        <v>4125</v>
      </c>
      <c r="F13" s="19">
        <v>5683</v>
      </c>
      <c r="G13" s="19">
        <v>6793</v>
      </c>
      <c r="H13" s="19"/>
      <c r="I13" s="19"/>
      <c r="J13" s="19"/>
      <c r="K13" s="19"/>
      <c r="L13" s="19"/>
      <c r="N13" s="7">
        <f>G13</f>
        <v>6793</v>
      </c>
      <c r="P13" s="8">
        <f t="shared" si="6"/>
        <v>2005</v>
      </c>
      <c r="Q13" s="19">
        <f t="shared" si="3"/>
        <v>1487</v>
      </c>
      <c r="R13" s="19">
        <f t="shared" si="4"/>
        <v>1251</v>
      </c>
      <c r="S13" s="19">
        <f t="shared" si="4"/>
        <v>1387</v>
      </c>
      <c r="T13" s="19">
        <f t="shared" si="4"/>
        <v>1558</v>
      </c>
      <c r="U13" s="19">
        <f t="shared" si="2"/>
        <v>1110</v>
      </c>
      <c r="V13" s="19"/>
      <c r="W13" s="19"/>
      <c r="X13" s="19"/>
      <c r="Y13" s="19"/>
      <c r="Z13" s="19"/>
      <c r="AB13" s="7">
        <f>U13</f>
        <v>1110</v>
      </c>
    </row>
    <row r="14" spans="2:28" x14ac:dyDescent="0.25">
      <c r="B14" s="8">
        <f t="shared" si="5"/>
        <v>2006</v>
      </c>
      <c r="C14" s="19">
        <v>1499</v>
      </c>
      <c r="D14" s="19">
        <v>2920</v>
      </c>
      <c r="E14" s="19">
        <v>4781</v>
      </c>
      <c r="F14" s="19">
        <v>6285</v>
      </c>
      <c r="G14" s="19"/>
      <c r="H14" s="19"/>
      <c r="I14" s="19"/>
      <c r="J14" s="19"/>
      <c r="K14" s="19"/>
      <c r="L14" s="19"/>
      <c r="N14" s="7">
        <f>F14</f>
        <v>6285</v>
      </c>
      <c r="P14" s="8">
        <f t="shared" si="6"/>
        <v>2006</v>
      </c>
      <c r="Q14" s="19">
        <f t="shared" si="3"/>
        <v>1499</v>
      </c>
      <c r="R14" s="19">
        <f t="shared" si="4"/>
        <v>1421</v>
      </c>
      <c r="S14" s="19">
        <f t="shared" si="4"/>
        <v>1861</v>
      </c>
      <c r="T14" s="19">
        <f t="shared" si="4"/>
        <v>1504</v>
      </c>
      <c r="U14" s="19"/>
      <c r="V14" s="19"/>
      <c r="W14" s="19"/>
      <c r="X14" s="19"/>
      <c r="Y14" s="19"/>
      <c r="Z14" s="19"/>
      <c r="AB14" s="7">
        <f>T14</f>
        <v>1504</v>
      </c>
    </row>
    <row r="15" spans="2:28" x14ac:dyDescent="0.25">
      <c r="B15" s="8">
        <f t="shared" si="5"/>
        <v>2007</v>
      </c>
      <c r="C15" s="19">
        <v>1587</v>
      </c>
      <c r="D15" s="19">
        <v>3287</v>
      </c>
      <c r="E15" s="19">
        <v>5006</v>
      </c>
      <c r="F15" s="19"/>
      <c r="G15" s="19"/>
      <c r="H15" s="19"/>
      <c r="I15" s="19"/>
      <c r="J15" s="19"/>
      <c r="K15" s="19"/>
      <c r="L15" s="19"/>
      <c r="N15" s="7">
        <f>E15</f>
        <v>5006</v>
      </c>
      <c r="P15" s="8">
        <f t="shared" si="6"/>
        <v>2007</v>
      </c>
      <c r="Q15" s="19">
        <f t="shared" si="3"/>
        <v>1587</v>
      </c>
      <c r="R15" s="19">
        <f t="shared" si="4"/>
        <v>1700</v>
      </c>
      <c r="S15" s="19">
        <f t="shared" si="4"/>
        <v>1719</v>
      </c>
      <c r="T15" s="19"/>
      <c r="U15" s="19"/>
      <c r="V15" s="19"/>
      <c r="W15" s="19"/>
      <c r="X15" s="19"/>
      <c r="Y15" s="19"/>
      <c r="Z15" s="19"/>
      <c r="AB15" s="7">
        <f>S15</f>
        <v>1719</v>
      </c>
    </row>
    <row r="16" spans="2:28" x14ac:dyDescent="0.25">
      <c r="B16" s="8">
        <f t="shared" si="5"/>
        <v>2008</v>
      </c>
      <c r="C16" s="19">
        <v>1221</v>
      </c>
      <c r="D16" s="19">
        <v>2775</v>
      </c>
      <c r="E16" s="19"/>
      <c r="F16" s="19"/>
      <c r="G16" s="19"/>
      <c r="H16" s="19"/>
      <c r="I16" s="19"/>
      <c r="J16" s="19"/>
      <c r="K16" s="19"/>
      <c r="L16" s="19"/>
      <c r="N16" s="7">
        <f>D16</f>
        <v>2775</v>
      </c>
      <c r="P16" s="8">
        <f t="shared" si="6"/>
        <v>2008</v>
      </c>
      <c r="Q16" s="19">
        <f t="shared" si="3"/>
        <v>1221</v>
      </c>
      <c r="R16" s="19">
        <f t="shared" si="4"/>
        <v>1554</v>
      </c>
      <c r="S16" s="19"/>
      <c r="T16" s="19"/>
      <c r="U16" s="19"/>
      <c r="V16" s="19"/>
      <c r="W16" s="19"/>
      <c r="X16" s="19"/>
      <c r="Y16" s="19"/>
      <c r="Z16" s="19"/>
      <c r="AB16" s="7">
        <f>R16</f>
        <v>1554</v>
      </c>
    </row>
    <row r="17" spans="2:28" x14ac:dyDescent="0.25">
      <c r="B17" s="8">
        <f t="shared" si="5"/>
        <v>2009</v>
      </c>
      <c r="C17" s="19">
        <v>1321</v>
      </c>
      <c r="D17" s="19"/>
      <c r="E17" s="19"/>
      <c r="F17" s="19"/>
      <c r="G17" s="19"/>
      <c r="H17" s="19"/>
      <c r="I17" s="19"/>
      <c r="J17" s="19"/>
      <c r="K17" s="19"/>
      <c r="L17" s="19"/>
      <c r="N17" s="7">
        <f>C17</f>
        <v>1321</v>
      </c>
      <c r="P17" s="8">
        <f t="shared" si="6"/>
        <v>2009</v>
      </c>
      <c r="Q17" s="19">
        <f t="shared" si="3"/>
        <v>1321</v>
      </c>
      <c r="R17" s="19"/>
      <c r="S17" s="19"/>
      <c r="T17" s="19"/>
      <c r="U17" s="19"/>
      <c r="V17" s="19"/>
      <c r="W17" s="19"/>
      <c r="X17" s="19"/>
      <c r="Y17" s="19"/>
      <c r="Z17" s="19"/>
      <c r="AB17" s="7">
        <f>Q17</f>
        <v>1321</v>
      </c>
    </row>
    <row r="19" spans="2:28" x14ac:dyDescent="0.25">
      <c r="B19" s="47" t="s">
        <v>12</v>
      </c>
      <c r="C19" s="46"/>
      <c r="D19" s="46"/>
      <c r="E19" s="46"/>
      <c r="F19" s="46"/>
      <c r="G19" s="46"/>
      <c r="H19" s="46"/>
      <c r="I19" s="46"/>
      <c r="J19" s="46"/>
      <c r="K19" s="46"/>
    </row>
    <row r="20" spans="2:28" x14ac:dyDescent="0.25">
      <c r="B20" s="3" t="s">
        <v>0</v>
      </c>
      <c r="C20" s="3" t="str">
        <f>C7 &amp; "-" &amp; D7</f>
        <v>12-24</v>
      </c>
      <c r="D20" s="3" t="str">
        <f t="shared" ref="D20:K20" si="7">D7 &amp; "-" &amp; E7</f>
        <v>24-36</v>
      </c>
      <c r="E20" s="3" t="str">
        <f t="shared" si="7"/>
        <v>36-48</v>
      </c>
      <c r="F20" s="3" t="str">
        <f t="shared" si="7"/>
        <v>48-60</v>
      </c>
      <c r="G20" s="3" t="str">
        <f t="shared" si="7"/>
        <v>60-72</v>
      </c>
      <c r="H20" s="3" t="str">
        <f t="shared" si="7"/>
        <v>72-84</v>
      </c>
      <c r="I20" s="3" t="str">
        <f t="shared" si="7"/>
        <v>84-96</v>
      </c>
      <c r="J20" s="3" t="str">
        <f t="shared" si="7"/>
        <v>96-108</v>
      </c>
      <c r="K20" s="3" t="str">
        <f t="shared" si="7"/>
        <v>108-120</v>
      </c>
      <c r="L20" s="9"/>
    </row>
    <row r="21" spans="2:28" x14ac:dyDescent="0.25">
      <c r="B21" s="8">
        <f>$B8</f>
        <v>2000</v>
      </c>
      <c r="C21" s="56">
        <f>D8/C8</f>
        <v>2.2337770382695505</v>
      </c>
      <c r="D21" s="56">
        <f>E8/D8</f>
        <v>1.5389199255121042</v>
      </c>
      <c r="E21" s="56">
        <f t="shared" ref="E21:K21" si="8">F8/E8</f>
        <v>1.2882381413359147</v>
      </c>
      <c r="F21" s="56">
        <f t="shared" si="8"/>
        <v>1.1382678940447117</v>
      </c>
      <c r="G21" s="56">
        <f t="shared" si="8"/>
        <v>1.0572701765967982</v>
      </c>
      <c r="H21" s="56">
        <f t="shared" si="8"/>
        <v>1.0633780830471433</v>
      </c>
      <c r="I21" s="56">
        <f t="shared" si="8"/>
        <v>1.0581327069876689</v>
      </c>
      <c r="J21" s="56">
        <f t="shared" si="8"/>
        <v>1.0321864594894561</v>
      </c>
      <c r="K21" s="56">
        <f t="shared" si="8"/>
        <v>1.0239247311827957</v>
      </c>
    </row>
    <row r="22" spans="2:28" x14ac:dyDescent="0.25">
      <c r="B22" s="8">
        <f t="shared" ref="B22:B29" si="9">$B9</f>
        <v>2001</v>
      </c>
      <c r="C22" s="56">
        <f>D9/C9</f>
        <v>2.0909791827293756</v>
      </c>
      <c r="D22" s="56">
        <f t="shared" ref="D22:J22" si="10">E9/D9</f>
        <v>1.5604719764011798</v>
      </c>
      <c r="E22" s="56">
        <f t="shared" si="10"/>
        <v>1.255671077504726</v>
      </c>
      <c r="F22" s="56">
        <f t="shared" si="10"/>
        <v>1.1407602559277381</v>
      </c>
      <c r="G22" s="56">
        <f t="shared" si="10"/>
        <v>1.1194325305179809</v>
      </c>
      <c r="H22" s="56">
        <f t="shared" si="10"/>
        <v>1.0867963454170351</v>
      </c>
      <c r="I22" s="56">
        <f t="shared" si="10"/>
        <v>1.0423050847457627</v>
      </c>
      <c r="J22" s="56">
        <f t="shared" si="10"/>
        <v>1.0321321711981266</v>
      </c>
      <c r="K22" s="56"/>
      <c r="P22" s="7">
        <f>ROUND(C8,0)</f>
        <v>1202</v>
      </c>
      <c r="Q22" s="7">
        <f t="shared" ref="Q22:W33" si="11">ROUND(D8,0)</f>
        <v>2685</v>
      </c>
      <c r="R22" s="7">
        <f t="shared" si="11"/>
        <v>4132</v>
      </c>
      <c r="S22" s="7">
        <f t="shared" si="11"/>
        <v>5323</v>
      </c>
      <c r="T22" s="7">
        <f t="shared" si="11"/>
        <v>6059</v>
      </c>
      <c r="U22" s="7">
        <f t="shared" si="11"/>
        <v>6406</v>
      </c>
      <c r="V22" s="7">
        <f t="shared" si="11"/>
        <v>6812</v>
      </c>
      <c r="W22" s="7">
        <f t="shared" si="11"/>
        <v>7208</v>
      </c>
      <c r="X22" s="7">
        <f>ROUND(K8,0)</f>
        <v>7440</v>
      </c>
      <c r="Y22" s="7">
        <f t="shared" ref="Y22:Y33" si="12">ROUND(L8,0)</f>
        <v>7618</v>
      </c>
      <c r="Z22" s="7"/>
    </row>
    <row r="23" spans="2:28" x14ac:dyDescent="0.25">
      <c r="B23" s="8">
        <f t="shared" si="9"/>
        <v>2002</v>
      </c>
      <c r="C23" s="56">
        <f>D10/C10</f>
        <v>1.9120715350223547</v>
      </c>
      <c r="D23" s="56">
        <f t="shared" ref="D23:I24" si="13">E10/D10</f>
        <v>1.5814497272018706</v>
      </c>
      <c r="E23" s="56">
        <f t="shared" si="13"/>
        <v>1.3277476589452932</v>
      </c>
      <c r="F23" s="56">
        <f t="shared" si="13"/>
        <v>1.2026726057906458</v>
      </c>
      <c r="G23" s="56">
        <f t="shared" si="13"/>
        <v>1.1020061728395061</v>
      </c>
      <c r="H23" s="56">
        <f t="shared" si="13"/>
        <v>1.0924240302478645</v>
      </c>
      <c r="I23" s="56">
        <f t="shared" si="13"/>
        <v>1.0394821176772209</v>
      </c>
      <c r="J23" s="56"/>
      <c r="K23" s="56"/>
      <c r="P23" s="7">
        <f t="shared" ref="P23:P33" si="14">ROUND(C9,0)</f>
        <v>1297</v>
      </c>
      <c r="Q23" s="7">
        <f t="shared" si="11"/>
        <v>2712</v>
      </c>
      <c r="R23" s="7">
        <f t="shared" si="11"/>
        <v>4232</v>
      </c>
      <c r="S23" s="7">
        <f t="shared" si="11"/>
        <v>5314</v>
      </c>
      <c r="T23" s="7">
        <f t="shared" si="11"/>
        <v>6062</v>
      </c>
      <c r="U23" s="7">
        <f t="shared" si="11"/>
        <v>6786</v>
      </c>
      <c r="V23" s="7">
        <f t="shared" si="11"/>
        <v>7375</v>
      </c>
      <c r="W23" s="7">
        <f t="shared" si="11"/>
        <v>7687</v>
      </c>
      <c r="X23" s="7">
        <f t="shared" ref="X23:X33" si="15">ROUND(K9,0)</f>
        <v>7934</v>
      </c>
      <c r="Y23" s="7"/>
      <c r="Z23" s="7"/>
    </row>
    <row r="24" spans="2:28" x14ac:dyDescent="0.25">
      <c r="B24" s="8">
        <f t="shared" si="9"/>
        <v>2003</v>
      </c>
      <c r="C24" s="56">
        <f t="shared" ref="C24:G29" si="16">D11/C11</f>
        <v>2.1005413766434646</v>
      </c>
      <c r="D24" s="56">
        <f t="shared" si="16"/>
        <v>1.5567010309278351</v>
      </c>
      <c r="E24" s="56">
        <f t="shared" si="16"/>
        <v>1.3214285714285714</v>
      </c>
      <c r="F24" s="56">
        <f t="shared" si="16"/>
        <v>1.1922319670664041</v>
      </c>
      <c r="G24" s="56">
        <f t="shared" si="16"/>
        <v>1.1448731421708451</v>
      </c>
      <c r="H24" s="56">
        <f t="shared" si="13"/>
        <v>1.054287962234461</v>
      </c>
      <c r="I24" s="56"/>
      <c r="J24" s="56"/>
      <c r="K24" s="56"/>
      <c r="P24" s="7">
        <f t="shared" si="14"/>
        <v>1342</v>
      </c>
      <c r="Q24" s="7">
        <f t="shared" si="11"/>
        <v>2566</v>
      </c>
      <c r="R24" s="7">
        <f t="shared" si="11"/>
        <v>4058</v>
      </c>
      <c r="S24" s="7">
        <f t="shared" si="11"/>
        <v>5388</v>
      </c>
      <c r="T24" s="7">
        <f t="shared" si="11"/>
        <v>6480</v>
      </c>
      <c r="U24" s="7">
        <f t="shared" si="11"/>
        <v>7141</v>
      </c>
      <c r="V24" s="7">
        <f t="shared" si="11"/>
        <v>7801</v>
      </c>
      <c r="W24" s="7">
        <f t="shared" si="11"/>
        <v>8109</v>
      </c>
      <c r="X24" s="7"/>
      <c r="Y24" s="7"/>
      <c r="Z24" s="7"/>
    </row>
    <row r="25" spans="2:28" x14ac:dyDescent="0.25">
      <c r="B25" s="8">
        <f t="shared" si="9"/>
        <v>2004</v>
      </c>
      <c r="C25" s="56">
        <f t="shared" si="16"/>
        <v>1.8421052631578947</v>
      </c>
      <c r="D25" s="56">
        <f t="shared" si="16"/>
        <v>1.572211350293542</v>
      </c>
      <c r="E25" s="56">
        <f t="shared" si="16"/>
        <v>1.3592233009708738</v>
      </c>
      <c r="F25" s="56">
        <f t="shared" si="16"/>
        <v>1.234981684981685</v>
      </c>
      <c r="G25" s="56">
        <f t="shared" si="16"/>
        <v>1.1091502298680114</v>
      </c>
      <c r="H25" s="56"/>
      <c r="I25" s="56"/>
      <c r="J25" s="56"/>
      <c r="K25" s="56"/>
      <c r="P25" s="7">
        <f t="shared" si="14"/>
        <v>1293</v>
      </c>
      <c r="Q25" s="7">
        <f t="shared" si="11"/>
        <v>2716</v>
      </c>
      <c r="R25" s="7">
        <f t="shared" si="11"/>
        <v>4228</v>
      </c>
      <c r="S25" s="7">
        <f t="shared" si="11"/>
        <v>5587</v>
      </c>
      <c r="T25" s="7">
        <f t="shared" si="11"/>
        <v>6661</v>
      </c>
      <c r="U25" s="7">
        <f t="shared" si="11"/>
        <v>7626</v>
      </c>
      <c r="V25" s="7">
        <f t="shared" si="11"/>
        <v>8040</v>
      </c>
      <c r="W25" s="7"/>
      <c r="X25" s="7"/>
      <c r="Y25" s="7"/>
      <c r="Z25" s="7"/>
    </row>
    <row r="26" spans="2:28" x14ac:dyDescent="0.25">
      <c r="B26" s="8">
        <f t="shared" si="9"/>
        <v>2005</v>
      </c>
      <c r="C26" s="56">
        <f t="shared" si="16"/>
        <v>1.8412911903160727</v>
      </c>
      <c r="D26" s="56">
        <f t="shared" si="16"/>
        <v>1.5065741417092768</v>
      </c>
      <c r="E26" s="56">
        <f t="shared" si="16"/>
        <v>1.3776969696969696</v>
      </c>
      <c r="F26" s="56">
        <f t="shared" si="16"/>
        <v>1.1953193735702974</v>
      </c>
      <c r="G26" s="56"/>
      <c r="H26" s="56"/>
      <c r="I26" s="56"/>
      <c r="J26" s="56"/>
      <c r="K26" s="56"/>
      <c r="P26" s="7">
        <f t="shared" si="14"/>
        <v>1387</v>
      </c>
      <c r="Q26" s="7">
        <f t="shared" si="11"/>
        <v>2555</v>
      </c>
      <c r="R26" s="7">
        <f t="shared" si="11"/>
        <v>4017</v>
      </c>
      <c r="S26" s="7">
        <f t="shared" si="11"/>
        <v>5460</v>
      </c>
      <c r="T26" s="7">
        <f t="shared" si="11"/>
        <v>6743</v>
      </c>
      <c r="U26" s="7">
        <f t="shared" si="11"/>
        <v>7479</v>
      </c>
      <c r="V26" s="7"/>
      <c r="W26" s="7"/>
      <c r="X26" s="7"/>
      <c r="Y26" s="7"/>
      <c r="Z26" s="7"/>
    </row>
    <row r="27" spans="2:28" x14ac:dyDescent="0.25">
      <c r="B27" s="8">
        <f t="shared" si="9"/>
        <v>2006</v>
      </c>
      <c r="C27" s="56">
        <f t="shared" si="16"/>
        <v>1.9479653102068046</v>
      </c>
      <c r="D27" s="56">
        <f t="shared" si="16"/>
        <v>1.6373287671232877</v>
      </c>
      <c r="E27" s="56">
        <f t="shared" si="16"/>
        <v>1.3145785400543819</v>
      </c>
      <c r="F27" s="56"/>
      <c r="G27" s="56"/>
      <c r="H27" s="56"/>
      <c r="I27" s="56"/>
      <c r="J27" s="56"/>
      <c r="K27" s="56"/>
      <c r="P27" s="7">
        <f t="shared" si="14"/>
        <v>1487</v>
      </c>
      <c r="Q27" s="7">
        <f t="shared" si="11"/>
        <v>2738</v>
      </c>
      <c r="R27" s="7">
        <f t="shared" si="11"/>
        <v>4125</v>
      </c>
      <c r="S27" s="7">
        <f t="shared" si="11"/>
        <v>5683</v>
      </c>
      <c r="T27" s="7">
        <f t="shared" si="11"/>
        <v>6793</v>
      </c>
      <c r="U27" s="7"/>
      <c r="V27" s="7"/>
      <c r="W27" s="7"/>
      <c r="X27" s="7"/>
      <c r="Y27" s="7"/>
      <c r="Z27" s="7"/>
    </row>
    <row r="28" spans="2:28" x14ac:dyDescent="0.25">
      <c r="B28" s="8">
        <f t="shared" si="9"/>
        <v>2007</v>
      </c>
      <c r="C28" s="56">
        <f t="shared" si="16"/>
        <v>2.0712035286704475</v>
      </c>
      <c r="D28" s="56">
        <f t="shared" si="16"/>
        <v>1.5229692728932156</v>
      </c>
      <c r="E28" s="56"/>
      <c r="F28" s="56"/>
      <c r="G28" s="56"/>
      <c r="H28" s="56"/>
      <c r="I28" s="56"/>
      <c r="J28" s="56"/>
      <c r="K28" s="56"/>
      <c r="P28" s="7">
        <f t="shared" si="14"/>
        <v>1499</v>
      </c>
      <c r="Q28" s="7">
        <f t="shared" si="11"/>
        <v>2920</v>
      </c>
      <c r="R28" s="7">
        <f t="shared" si="11"/>
        <v>4781</v>
      </c>
      <c r="S28" s="7">
        <f t="shared" si="11"/>
        <v>6285</v>
      </c>
      <c r="T28" s="7"/>
      <c r="U28" s="7"/>
      <c r="V28" s="7"/>
      <c r="W28" s="7"/>
      <c r="X28" s="7"/>
      <c r="Y28" s="7"/>
      <c r="Z28" s="7"/>
    </row>
    <row r="29" spans="2:28" x14ac:dyDescent="0.25">
      <c r="B29" s="8">
        <f t="shared" si="9"/>
        <v>2008</v>
      </c>
      <c r="C29" s="56">
        <f t="shared" si="16"/>
        <v>2.2727272727272729</v>
      </c>
      <c r="D29" s="56"/>
      <c r="E29" s="56"/>
      <c r="F29" s="56"/>
      <c r="G29" s="56"/>
      <c r="H29" s="56"/>
      <c r="I29" s="56"/>
      <c r="J29" s="56"/>
      <c r="K29" s="56"/>
      <c r="P29" s="7">
        <f t="shared" si="14"/>
        <v>1587</v>
      </c>
      <c r="Q29" s="7">
        <f t="shared" si="11"/>
        <v>3287</v>
      </c>
      <c r="R29" s="7">
        <f t="shared" si="11"/>
        <v>5006</v>
      </c>
      <c r="S29" s="7"/>
      <c r="T29" s="7"/>
      <c r="U29" s="7"/>
      <c r="V29" s="7"/>
      <c r="W29" s="7"/>
      <c r="X29" s="7"/>
      <c r="Y29" s="7"/>
      <c r="Z29" s="7"/>
    </row>
    <row r="30" spans="2:28" x14ac:dyDescent="0.25">
      <c r="P30" s="7">
        <f t="shared" si="14"/>
        <v>1221</v>
      </c>
      <c r="Q30" s="7">
        <f t="shared" si="11"/>
        <v>2775</v>
      </c>
      <c r="R30" s="7"/>
      <c r="S30" s="7"/>
      <c r="T30" s="7"/>
      <c r="U30" s="7"/>
      <c r="V30" s="7"/>
      <c r="W30" s="7"/>
      <c r="X30" s="7"/>
      <c r="Y30" s="7"/>
      <c r="Z30" s="7"/>
    </row>
    <row r="31" spans="2:28" x14ac:dyDescent="0.25">
      <c r="B31" s="11" t="s">
        <v>18</v>
      </c>
      <c r="C31" s="56">
        <f>AVERAGE(C21:C29)</f>
        <v>2.0347401886381373</v>
      </c>
      <c r="D31" s="56">
        <f t="shared" ref="D31:K31" si="17">AVERAGE(D21:D29)</f>
        <v>1.559578274007789</v>
      </c>
      <c r="E31" s="56">
        <f t="shared" si="17"/>
        <v>1.3206548942766758</v>
      </c>
      <c r="F31" s="56">
        <f t="shared" si="17"/>
        <v>1.1840389635635804</v>
      </c>
      <c r="G31" s="56">
        <f t="shared" si="17"/>
        <v>1.1065464503986282</v>
      </c>
      <c r="H31" s="56">
        <f t="shared" si="17"/>
        <v>1.074221605236626</v>
      </c>
      <c r="I31" s="56">
        <f t="shared" si="17"/>
        <v>1.0466399698035509</v>
      </c>
      <c r="J31" s="56">
        <f t="shared" si="17"/>
        <v>1.0321593153437914</v>
      </c>
      <c r="K31" s="56">
        <f t="shared" si="17"/>
        <v>1.0239247311827957</v>
      </c>
      <c r="P31" s="7">
        <f t="shared" si="14"/>
        <v>1321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8" x14ac:dyDescent="0.25">
      <c r="B32" s="12" t="s">
        <v>3</v>
      </c>
      <c r="C32" s="10">
        <f>SUM(D8:D16)/SUM(C8:C16)</f>
        <v>2.0263093788063338</v>
      </c>
      <c r="D32" s="10">
        <f>SUM(E8:E15)/SUM(D8:D15)</f>
        <v>1.5590874250417062</v>
      </c>
      <c r="E32" s="10">
        <f>SUM(F8:F14)/SUM(E8:E14)</f>
        <v>1.3201230852466777</v>
      </c>
      <c r="F32" s="10">
        <f>SUM(G8:G13)/SUM(F8:F13)</f>
        <v>1.1844909174171883</v>
      </c>
      <c r="G32" s="10">
        <f>SUM(H8:H12)/SUM(G8:G12)</f>
        <v>1.1072644899234494</v>
      </c>
      <c r="H32" s="10">
        <f>SUM(I8:I11)/SUM(H8:H11)</f>
        <v>1.074001216066383</v>
      </c>
      <c r="I32" s="10">
        <f>SUM(J8:J10)/SUM(I8:I10)</f>
        <v>1.0462070220120065</v>
      </c>
      <c r="J32" s="10">
        <f>SUM(K8:K9)/SUM(J8:J9)</f>
        <v>1.0321584424303458</v>
      </c>
      <c r="K32" s="10">
        <f>L8/K8</f>
        <v>1.0239247311827957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25">
      <c r="B33" s="11" t="s">
        <v>2</v>
      </c>
      <c r="C33" s="10">
        <f>SUM(D12:D16)/SUM(C12:C16)</f>
        <v>1.9878846957248295</v>
      </c>
      <c r="D33" s="10">
        <f>SUM(E11:E15)/SUM(D11:D15)</f>
        <v>1.5585959482273495</v>
      </c>
      <c r="E33" s="10">
        <f>SUM(F10:F14)/SUM(E10:E14)</f>
        <v>1.3391956244990335</v>
      </c>
      <c r="F33" s="10">
        <f>SUM(G9:G13)/SUM(F9:F13)</f>
        <v>1.1934601924759405</v>
      </c>
      <c r="G33" s="10">
        <f>SUM(H8:H12)/SUM(G8:G12)</f>
        <v>1.1072644899234494</v>
      </c>
      <c r="H33" s="10">
        <f>H$32</f>
        <v>1.074001216066383</v>
      </c>
      <c r="I33" s="10">
        <f>I$32</f>
        <v>1.0462070220120065</v>
      </c>
      <c r="J33" s="10">
        <f>J$32</f>
        <v>1.0321584424303458</v>
      </c>
      <c r="K33" s="10">
        <f>K$32</f>
        <v>1.0239247311827957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x14ac:dyDescent="0.25">
      <c r="B34" s="12" t="s">
        <v>4</v>
      </c>
      <c r="C34" s="10">
        <f>SUM(D14:D16)/SUM(C14:C16)</f>
        <v>2.0854423032273042</v>
      </c>
      <c r="D34" s="10">
        <f>SUM(E13:E15)/SUM(D13:D15)</f>
        <v>1.5552822806036892</v>
      </c>
      <c r="E34" s="10">
        <f>SUM(F12:F14)/SUM(E12:E14)</f>
        <v>1.3486032654956279</v>
      </c>
      <c r="F34" s="10">
        <f>SUM(G11:G13)/SUM(F11:F13)</f>
        <v>1.2072325164375373</v>
      </c>
      <c r="G34" s="10">
        <f>SUM(H10:H12)/SUM(G10:G12)</f>
        <v>1.1187889760611547</v>
      </c>
      <c r="H34" s="10">
        <f>SUM(I9:I11)/SUM(H9:H11)</f>
        <v>1.0771586322089732</v>
      </c>
      <c r="I34" s="10">
        <f>SUM(J8:J10)/SUM(I8:I10)</f>
        <v>1.0462070220120065</v>
      </c>
      <c r="J34" s="10">
        <f>J$32</f>
        <v>1.0321584424303458</v>
      </c>
      <c r="K34" s="10">
        <f>K$32</f>
        <v>1.0239247311827957</v>
      </c>
    </row>
    <row r="35" spans="2:26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2:26" x14ac:dyDescent="0.25">
      <c r="B36" s="3" t="s">
        <v>15</v>
      </c>
      <c r="C36" s="59">
        <f>C31</f>
        <v>2.0347401886381373</v>
      </c>
      <c r="D36" s="59">
        <f t="shared" ref="D36:K36" si="18">D31</f>
        <v>1.559578274007789</v>
      </c>
      <c r="E36" s="59">
        <f t="shared" si="18"/>
        <v>1.3206548942766758</v>
      </c>
      <c r="F36" s="59">
        <f t="shared" si="18"/>
        <v>1.1840389635635804</v>
      </c>
      <c r="G36" s="59">
        <f t="shared" si="18"/>
        <v>1.1065464503986282</v>
      </c>
      <c r="H36" s="59">
        <f t="shared" si="18"/>
        <v>1.074221605236626</v>
      </c>
      <c r="I36" s="59">
        <f t="shared" si="18"/>
        <v>1.0466399698035509</v>
      </c>
      <c r="J36" s="59">
        <f t="shared" si="18"/>
        <v>1.0321593153437914</v>
      </c>
      <c r="K36" s="59">
        <f t="shared" si="18"/>
        <v>1.0239247311827957</v>
      </c>
    </row>
    <row r="37" spans="2:26" x14ac:dyDescent="0.25">
      <c r="C37" s="13"/>
      <c r="D37" s="13"/>
      <c r="E37" s="13"/>
      <c r="F37" s="13"/>
      <c r="G37" s="13"/>
      <c r="H37" s="13"/>
      <c r="I37" s="13"/>
      <c r="J37" s="13"/>
      <c r="K37" s="13"/>
    </row>
    <row r="38" spans="2:26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6"/>
    </row>
    <row r="39" spans="2:26" x14ac:dyDescent="0.25">
      <c r="B39" s="3"/>
      <c r="C39" s="42"/>
      <c r="D39" s="42"/>
      <c r="E39" s="42"/>
      <c r="F39" s="42"/>
      <c r="G39" s="42"/>
      <c r="H39" s="42"/>
      <c r="I39" s="42"/>
      <c r="J39" s="42"/>
      <c r="K39" s="42"/>
      <c r="L39" s="42"/>
      <c r="N39" s="42"/>
    </row>
    <row r="40" spans="2:26" x14ac:dyDescent="0.25"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N40" s="7"/>
    </row>
    <row r="41" spans="2:26" x14ac:dyDescent="0.25"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N41" s="7"/>
    </row>
    <row r="42" spans="2:26" x14ac:dyDescent="0.25">
      <c r="B42" s="8"/>
      <c r="C42" s="19"/>
      <c r="D42" s="19"/>
      <c r="E42" s="19"/>
      <c r="F42" s="19"/>
      <c r="G42" s="19"/>
      <c r="H42" s="19"/>
      <c r="I42" s="19"/>
      <c r="J42" s="19"/>
      <c r="K42" s="19"/>
      <c r="L42" s="19"/>
      <c r="N42" s="7"/>
    </row>
    <row r="43" spans="2:26" x14ac:dyDescent="0.25">
      <c r="B43" s="8"/>
      <c r="C43" s="19"/>
      <c r="D43" s="19"/>
      <c r="E43" s="19"/>
      <c r="F43" s="19"/>
      <c r="G43" s="19"/>
      <c r="H43" s="19"/>
      <c r="I43" s="19"/>
      <c r="J43" s="19"/>
      <c r="K43" s="19"/>
      <c r="L43" s="19"/>
      <c r="N43" s="7"/>
    </row>
    <row r="44" spans="2:26" x14ac:dyDescent="0.25"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N44" s="7"/>
    </row>
    <row r="45" spans="2:26" x14ac:dyDescent="0.25"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N45" s="7"/>
    </row>
    <row r="46" spans="2:26" x14ac:dyDescent="0.25">
      <c r="B46" s="8"/>
      <c r="C46" s="19"/>
      <c r="D46" s="19"/>
      <c r="E46" s="19"/>
      <c r="F46" s="19"/>
      <c r="G46" s="19"/>
      <c r="H46" s="19"/>
      <c r="I46" s="19"/>
      <c r="J46" s="19"/>
      <c r="K46" s="19"/>
      <c r="L46" s="19"/>
      <c r="N46" s="7"/>
    </row>
    <row r="47" spans="2:26" x14ac:dyDescent="0.25">
      <c r="B47" s="8"/>
      <c r="C47" s="19"/>
      <c r="D47" s="19"/>
      <c r="E47" s="19"/>
      <c r="F47" s="19"/>
      <c r="G47" s="19"/>
      <c r="H47" s="19"/>
      <c r="I47" s="19"/>
      <c r="J47" s="19"/>
      <c r="K47" s="19"/>
      <c r="L47" s="19"/>
      <c r="N47" s="7"/>
    </row>
    <row r="48" spans="2:26" x14ac:dyDescent="0.25">
      <c r="B48" s="8"/>
      <c r="C48" s="19"/>
      <c r="D48" s="19"/>
      <c r="E48" s="19"/>
      <c r="F48" s="19"/>
      <c r="G48" s="19"/>
      <c r="H48" s="19"/>
      <c r="I48" s="19"/>
      <c r="J48" s="19"/>
      <c r="K48" s="19"/>
      <c r="L48" s="19"/>
      <c r="N48" s="7"/>
    </row>
    <row r="49" spans="2:14" x14ac:dyDescent="0.25">
      <c r="B49" s="8"/>
      <c r="C49" s="19"/>
      <c r="D49" s="19"/>
      <c r="E49" s="19"/>
      <c r="F49" s="19"/>
      <c r="G49" s="19"/>
      <c r="H49" s="19"/>
      <c r="I49" s="19"/>
      <c r="J49" s="19"/>
      <c r="K49" s="19"/>
      <c r="L49" s="19"/>
      <c r="N49" s="7"/>
    </row>
    <row r="51" spans="2:14" x14ac:dyDescent="0.25">
      <c r="B51" s="47"/>
      <c r="C51" s="46"/>
      <c r="D51" s="46"/>
      <c r="E51" s="46"/>
      <c r="F51" s="46"/>
      <c r="G51" s="46"/>
      <c r="H51" s="46"/>
      <c r="I51" s="46"/>
      <c r="J51" s="46"/>
      <c r="K51" s="46"/>
    </row>
    <row r="52" spans="2:14" x14ac:dyDescent="0.25">
      <c r="B52" s="3"/>
      <c r="C52" s="8"/>
      <c r="D52" s="8"/>
      <c r="E52" s="8"/>
      <c r="F52" s="8"/>
      <c r="G52" s="8"/>
      <c r="H52" s="8"/>
      <c r="I52" s="8"/>
      <c r="J52" s="8"/>
      <c r="K52" s="8"/>
    </row>
    <row r="53" spans="2:14" x14ac:dyDescent="0.25">
      <c r="B53" s="8"/>
      <c r="C53" s="10"/>
      <c r="D53" s="10"/>
      <c r="E53" s="10"/>
      <c r="F53" s="10"/>
      <c r="G53" s="10"/>
      <c r="H53" s="10"/>
      <c r="I53" s="10"/>
      <c r="J53" s="10"/>
      <c r="K53" s="10"/>
    </row>
    <row r="54" spans="2:14" x14ac:dyDescent="0.25">
      <c r="B54" s="8"/>
      <c r="C54" s="10"/>
      <c r="D54" s="10"/>
      <c r="E54" s="10"/>
      <c r="F54" s="10"/>
      <c r="G54" s="10"/>
      <c r="H54" s="10"/>
      <c r="I54" s="10"/>
      <c r="J54" s="10"/>
      <c r="K54" s="10"/>
    </row>
    <row r="55" spans="2:14" x14ac:dyDescent="0.25">
      <c r="B55" s="8"/>
      <c r="C55" s="10"/>
      <c r="D55" s="10"/>
      <c r="E55" s="10"/>
      <c r="F55" s="10"/>
      <c r="G55" s="10"/>
      <c r="H55" s="10"/>
      <c r="I55" s="10"/>
      <c r="J55" s="10"/>
      <c r="K55" s="10"/>
    </row>
    <row r="56" spans="2:14" x14ac:dyDescent="0.25">
      <c r="B56" s="8"/>
      <c r="C56" s="10"/>
      <c r="D56" s="10"/>
      <c r="E56" s="10"/>
      <c r="F56" s="10"/>
      <c r="G56" s="10"/>
      <c r="H56" s="10"/>
      <c r="I56" s="10"/>
      <c r="J56" s="10"/>
      <c r="K56" s="10"/>
    </row>
    <row r="57" spans="2:14" x14ac:dyDescent="0.25">
      <c r="B57" s="8"/>
      <c r="C57" s="10"/>
      <c r="D57" s="10"/>
      <c r="E57" s="10"/>
      <c r="F57" s="10"/>
      <c r="G57" s="10"/>
      <c r="H57" s="10"/>
      <c r="I57" s="10"/>
      <c r="J57" s="10"/>
      <c r="K57" s="10"/>
    </row>
    <row r="58" spans="2:14" x14ac:dyDescent="0.25">
      <c r="B58" s="8"/>
      <c r="C58" s="10"/>
      <c r="D58" s="10"/>
      <c r="E58" s="10"/>
      <c r="F58" s="10"/>
      <c r="G58" s="10"/>
      <c r="H58" s="10"/>
      <c r="I58" s="10"/>
      <c r="J58" s="10"/>
      <c r="K58" s="10"/>
    </row>
    <row r="59" spans="2:14" x14ac:dyDescent="0.25">
      <c r="B59" s="8"/>
      <c r="C59" s="10"/>
      <c r="D59" s="10"/>
      <c r="E59" s="10"/>
      <c r="F59" s="10"/>
      <c r="G59" s="10"/>
      <c r="H59" s="10"/>
      <c r="I59" s="10"/>
      <c r="J59" s="10"/>
      <c r="K59" s="10"/>
    </row>
    <row r="60" spans="2:14" x14ac:dyDescent="0.25">
      <c r="B60" s="8"/>
      <c r="C60" s="10"/>
      <c r="D60" s="10"/>
      <c r="E60" s="10"/>
      <c r="F60" s="10"/>
      <c r="G60" s="10"/>
      <c r="H60" s="10"/>
      <c r="I60" s="10"/>
      <c r="J60" s="10"/>
      <c r="K60" s="10"/>
    </row>
    <row r="61" spans="2:14" x14ac:dyDescent="0.25">
      <c r="B61" s="8"/>
      <c r="C61" s="10"/>
      <c r="D61" s="10"/>
      <c r="E61" s="10"/>
      <c r="F61" s="10"/>
      <c r="G61" s="10"/>
      <c r="H61" s="10"/>
      <c r="I61" s="10"/>
      <c r="J61" s="10"/>
      <c r="K61" s="10"/>
    </row>
    <row r="62" spans="2:14" x14ac:dyDescent="0.25">
      <c r="C62" s="15"/>
      <c r="D62" s="15"/>
      <c r="E62" s="15"/>
      <c r="F62" s="15"/>
      <c r="G62" s="15"/>
      <c r="H62" s="15"/>
      <c r="I62" s="15"/>
      <c r="J62" s="15"/>
      <c r="K62" s="15"/>
    </row>
    <row r="63" spans="2:14" x14ac:dyDescent="0.25">
      <c r="B63" s="11"/>
      <c r="C63" s="10"/>
      <c r="D63" s="10"/>
      <c r="E63" s="10"/>
      <c r="F63" s="10"/>
      <c r="G63" s="10"/>
      <c r="H63" s="10"/>
      <c r="I63" s="10"/>
      <c r="J63" s="10"/>
      <c r="K63" s="10"/>
    </row>
    <row r="64" spans="2:14" x14ac:dyDescent="0.25">
      <c r="B64" s="12"/>
      <c r="C64" s="10"/>
      <c r="D64" s="10"/>
      <c r="E64" s="10"/>
      <c r="F64" s="10"/>
      <c r="G64" s="10"/>
      <c r="H64" s="10"/>
      <c r="I64" s="10"/>
      <c r="J64" s="10"/>
      <c r="K64" s="10"/>
    </row>
    <row r="65" spans="2:14" x14ac:dyDescent="0.25">
      <c r="B65" s="11"/>
      <c r="C65" s="10"/>
      <c r="D65" s="10"/>
      <c r="E65" s="10"/>
      <c r="F65" s="10"/>
      <c r="G65" s="10"/>
      <c r="H65" s="10"/>
      <c r="I65" s="10"/>
      <c r="J65" s="10"/>
      <c r="K65" s="10"/>
    </row>
    <row r="66" spans="2:14" x14ac:dyDescent="0.25">
      <c r="B66" s="12"/>
      <c r="C66" s="10"/>
      <c r="D66" s="10"/>
      <c r="E66" s="10"/>
      <c r="F66" s="10"/>
      <c r="G66" s="10"/>
      <c r="H66" s="10"/>
      <c r="I66" s="10"/>
      <c r="J66" s="10"/>
      <c r="K66" s="10"/>
    </row>
    <row r="67" spans="2:14" x14ac:dyDescent="0.25">
      <c r="B67" s="8"/>
      <c r="C67" s="16"/>
      <c r="D67" s="16"/>
      <c r="E67" s="16"/>
      <c r="F67" s="16"/>
      <c r="G67" s="16"/>
      <c r="H67" s="16"/>
      <c r="I67" s="16"/>
      <c r="J67" s="16"/>
      <c r="K67" s="16"/>
    </row>
    <row r="68" spans="2:14" x14ac:dyDescent="0.25">
      <c r="B68" s="3"/>
      <c r="C68" s="10"/>
      <c r="D68" s="10"/>
      <c r="E68" s="10"/>
      <c r="F68" s="10"/>
      <c r="G68" s="10"/>
      <c r="H68" s="10"/>
      <c r="I68" s="10"/>
      <c r="J68" s="10"/>
      <c r="K68" s="10"/>
    </row>
    <row r="69" spans="2:14" x14ac:dyDescent="0.25">
      <c r="C69" s="15"/>
      <c r="D69" s="15"/>
      <c r="E69" s="15"/>
      <c r="F69" s="15"/>
      <c r="G69" s="15"/>
      <c r="H69" s="15"/>
      <c r="I69" s="15"/>
      <c r="J69" s="15"/>
      <c r="K69" s="15"/>
    </row>
    <row r="70" spans="2:14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2:14" x14ac:dyDescent="0.25">
      <c r="B71" s="3"/>
      <c r="C71" s="42"/>
      <c r="D71" s="42"/>
      <c r="E71" s="42"/>
      <c r="F71" s="42"/>
      <c r="G71" s="42"/>
      <c r="H71" s="42"/>
      <c r="I71" s="42"/>
      <c r="J71" s="42"/>
      <c r="K71" s="42"/>
      <c r="L71" s="42"/>
      <c r="N71" s="42"/>
    </row>
    <row r="72" spans="2:14" x14ac:dyDescent="0.25">
      <c r="B72" s="8"/>
      <c r="C72" s="19"/>
      <c r="D72" s="19"/>
      <c r="E72" s="19"/>
      <c r="F72" s="19"/>
      <c r="G72" s="19"/>
      <c r="H72" s="19"/>
      <c r="I72" s="19"/>
      <c r="J72" s="19"/>
      <c r="K72" s="19"/>
      <c r="L72" s="19"/>
      <c r="N72" s="7"/>
    </row>
    <row r="73" spans="2:14" x14ac:dyDescent="0.25">
      <c r="B73" s="8"/>
      <c r="C73" s="19"/>
      <c r="D73" s="19"/>
      <c r="E73" s="19"/>
      <c r="F73" s="19"/>
      <c r="G73" s="19"/>
      <c r="H73" s="19"/>
      <c r="I73" s="19"/>
      <c r="J73" s="19"/>
      <c r="K73" s="19"/>
      <c r="L73" s="19"/>
      <c r="N73" s="7"/>
    </row>
    <row r="74" spans="2:14" x14ac:dyDescent="0.25">
      <c r="B74" s="8"/>
      <c r="C74" s="19"/>
      <c r="D74" s="19"/>
      <c r="E74" s="19"/>
      <c r="F74" s="19"/>
      <c r="G74" s="19"/>
      <c r="H74" s="19"/>
      <c r="I74" s="19"/>
      <c r="J74" s="19"/>
      <c r="K74" s="19"/>
      <c r="L74" s="19"/>
      <c r="N74" s="7"/>
    </row>
    <row r="75" spans="2:14" x14ac:dyDescent="0.25">
      <c r="B75" s="8"/>
      <c r="C75" s="19"/>
      <c r="D75" s="19"/>
      <c r="E75" s="19"/>
      <c r="F75" s="19"/>
      <c r="G75" s="19"/>
      <c r="H75" s="19"/>
      <c r="I75" s="19"/>
      <c r="J75" s="19"/>
      <c r="K75" s="19"/>
      <c r="L75" s="19"/>
      <c r="N75" s="7"/>
    </row>
    <row r="76" spans="2:14" x14ac:dyDescent="0.25">
      <c r="B76" s="8"/>
      <c r="C76" s="19"/>
      <c r="D76" s="19"/>
      <c r="E76" s="19"/>
      <c r="F76" s="19"/>
      <c r="G76" s="19"/>
      <c r="H76" s="19"/>
      <c r="I76" s="19"/>
      <c r="J76" s="19"/>
      <c r="K76" s="19"/>
      <c r="L76" s="19"/>
      <c r="N76" s="7"/>
    </row>
    <row r="77" spans="2:14" x14ac:dyDescent="0.25">
      <c r="B77" s="8"/>
      <c r="C77" s="19"/>
      <c r="D77" s="19"/>
      <c r="E77" s="19"/>
      <c r="F77" s="19"/>
      <c r="G77" s="19"/>
      <c r="H77" s="19"/>
      <c r="I77" s="19"/>
      <c r="J77" s="19"/>
      <c r="K77" s="19"/>
      <c r="L77" s="19"/>
      <c r="N77" s="7"/>
    </row>
    <row r="78" spans="2:14" x14ac:dyDescent="0.25">
      <c r="B78" s="8"/>
      <c r="C78" s="19"/>
      <c r="D78" s="19"/>
      <c r="E78" s="19"/>
      <c r="F78" s="19"/>
      <c r="G78" s="19"/>
      <c r="H78" s="19"/>
      <c r="I78" s="19"/>
      <c r="J78" s="19"/>
      <c r="K78" s="19"/>
      <c r="L78" s="19"/>
      <c r="N78" s="7"/>
    </row>
    <row r="79" spans="2:14" x14ac:dyDescent="0.25">
      <c r="B79" s="8"/>
      <c r="C79" s="19"/>
      <c r="D79" s="19"/>
      <c r="E79" s="19"/>
      <c r="F79" s="19"/>
      <c r="G79" s="19"/>
      <c r="H79" s="19"/>
      <c r="I79" s="19"/>
      <c r="J79" s="19"/>
      <c r="K79" s="19"/>
      <c r="L79" s="19"/>
      <c r="N79" s="7"/>
    </row>
    <row r="80" spans="2:14" x14ac:dyDescent="0.25">
      <c r="B80" s="8"/>
      <c r="C80" s="19"/>
      <c r="D80" s="19"/>
      <c r="E80" s="19"/>
      <c r="F80" s="19"/>
      <c r="G80" s="19"/>
      <c r="H80" s="19"/>
      <c r="I80" s="19"/>
      <c r="J80" s="19"/>
      <c r="K80" s="19"/>
      <c r="L80" s="19"/>
      <c r="N80" s="7"/>
    </row>
    <row r="81" spans="2:14" x14ac:dyDescent="0.25">
      <c r="B81" s="8"/>
      <c r="C81" s="19"/>
      <c r="D81" s="19"/>
      <c r="E81" s="19"/>
      <c r="F81" s="19"/>
      <c r="G81" s="19"/>
      <c r="H81" s="19"/>
      <c r="I81" s="19"/>
      <c r="J81" s="19"/>
      <c r="K81" s="19"/>
      <c r="L81" s="19"/>
      <c r="N81" s="7"/>
    </row>
  </sheetData>
  <mergeCells count="9">
    <mergeCell ref="B70:L70"/>
    <mergeCell ref="B19:K19"/>
    <mergeCell ref="B38:L38"/>
    <mergeCell ref="B51:K51"/>
    <mergeCell ref="B1:L1"/>
    <mergeCell ref="B2:L2"/>
    <mergeCell ref="B3:L3"/>
    <mergeCell ref="B6:L6"/>
    <mergeCell ref="P6:Z6"/>
  </mergeCells>
  <phoneticPr fontId="1" type="noConversion"/>
  <printOptions horizontalCentered="1"/>
  <pageMargins left="0.5" right="0.5" top="1" bottom="1" header="0.5" footer="0.5"/>
  <pageSetup scale="65" fitToHeight="0" orientation="portrait" r:id="rId1"/>
  <headerFooter alignWithMargins="0"/>
  <rowBreaks count="1" manualBreakCount="1">
    <brk id="36" min="1" max="11" man="1"/>
  </rowBreaks>
  <ignoredErrors>
    <ignoredError sqref="C32 D32:F32 C34 G32:J32 C33 D33:F33 G34 H34 D34 F34 E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pageSetUpPr fitToPage="1"/>
  </sheetPr>
  <dimension ref="A1:AL111"/>
  <sheetViews>
    <sheetView tabSelected="1" topLeftCell="A12" zoomScaleNormal="100" workbookViewId="0">
      <selection activeCell="D33" sqref="D33"/>
    </sheetView>
  </sheetViews>
  <sheetFormatPr defaultColWidth="9.109375" defaultRowHeight="13.2" x14ac:dyDescent="0.25"/>
  <cols>
    <col min="1" max="1" width="4.33203125" style="2" customWidth="1"/>
    <col min="2" max="2" width="9.6640625" style="2" customWidth="1"/>
    <col min="3" max="5" width="9.5546875" style="2" customWidth="1"/>
    <col min="6" max="6" width="10.44140625" style="2" customWidth="1"/>
    <col min="7" max="7" width="11.6640625" style="2" customWidth="1"/>
    <col min="8" max="11" width="9.5546875" style="2" customWidth="1"/>
    <col min="12" max="12" width="9.33203125" style="2" bestFit="1" customWidth="1"/>
    <col min="13" max="13" width="8" style="2" customWidth="1"/>
    <col min="14" max="14" width="7" style="2" customWidth="1"/>
    <col min="15" max="15" width="14.6640625" style="2" bestFit="1" customWidth="1"/>
    <col min="16" max="16" width="14.6640625" style="2" customWidth="1"/>
    <col min="17" max="17" width="13.44140625" style="2" customWidth="1"/>
    <col min="18" max="16384" width="9.109375" style="2"/>
  </cols>
  <sheetData>
    <row r="1" spans="1:13" s="1" customFormat="1" ht="18" x14ac:dyDescent="0.35">
      <c r="B1" s="44" t="s">
        <v>16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s="1" customFormat="1" ht="18" x14ac:dyDescent="0.35">
      <c r="B2" s="45" t="s">
        <v>13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ht="15.6" x14ac:dyDescent="0.3">
      <c r="B4" s="49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6" spans="1:13" x14ac:dyDescent="0.25">
      <c r="A6" s="22"/>
    </row>
    <row r="7" spans="1:13" x14ac:dyDescent="0.25">
      <c r="A7" s="23" t="s">
        <v>26</v>
      </c>
    </row>
    <row r="8" spans="1:13" x14ac:dyDescent="0.25">
      <c r="A8" s="6"/>
      <c r="C8" s="18">
        <v>12</v>
      </c>
      <c r="D8" s="18">
        <f>C8+12</f>
        <v>24</v>
      </c>
      <c r="E8" s="18">
        <f t="shared" ref="E8:K8" si="0">D8+12</f>
        <v>36</v>
      </c>
      <c r="F8" s="18">
        <f t="shared" si="0"/>
        <v>48</v>
      </c>
      <c r="G8" s="18">
        <f t="shared" si="0"/>
        <v>60</v>
      </c>
      <c r="H8" s="18">
        <f t="shared" si="0"/>
        <v>72</v>
      </c>
      <c r="I8" s="18">
        <f t="shared" si="0"/>
        <v>84</v>
      </c>
      <c r="J8" s="18">
        <f t="shared" si="0"/>
        <v>96</v>
      </c>
      <c r="K8" s="18">
        <f t="shared" si="0"/>
        <v>108</v>
      </c>
      <c r="L8" s="18" t="s">
        <v>28</v>
      </c>
    </row>
    <row r="9" spans="1:13" x14ac:dyDescent="0.25">
      <c r="B9" s="12" t="s">
        <v>1</v>
      </c>
      <c r="C9" s="57">
        <f>'10-Year Loss History'!C36</f>
        <v>2.0347401886381373</v>
      </c>
      <c r="D9" s="57">
        <f>'10-Year Loss History'!D36</f>
        <v>1.559578274007789</v>
      </c>
      <c r="E9" s="57">
        <f>'10-Year Loss History'!E36</f>
        <v>1.3206548942766758</v>
      </c>
      <c r="F9" s="57">
        <f>'10-Year Loss History'!F36</f>
        <v>1.1840389635635804</v>
      </c>
      <c r="G9" s="57">
        <f>'10-Year Loss History'!G36</f>
        <v>1.1065464503986282</v>
      </c>
      <c r="H9" s="57">
        <f>'10-Year Loss History'!H36</f>
        <v>1.074221605236626</v>
      </c>
      <c r="I9" s="57">
        <f>'10-Year Loss History'!I36</f>
        <v>1.0466399698035509</v>
      </c>
      <c r="J9" s="57">
        <f>'10-Year Loss History'!J36</f>
        <v>1.0321593153437914</v>
      </c>
      <c r="K9" s="57">
        <f>'10-Year Loss History'!K36</f>
        <v>1.0239247311827957</v>
      </c>
    </row>
    <row r="10" spans="1:13" x14ac:dyDescent="0.25">
      <c r="A10" s="23" t="s">
        <v>29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3" x14ac:dyDescent="0.25">
      <c r="B11" s="12" t="s">
        <v>21</v>
      </c>
      <c r="C11" s="21">
        <f t="shared" ref="C11:K11" si="1">D11*C9</f>
        <v>6.6805947659402323</v>
      </c>
      <c r="D11" s="21">
        <f t="shared" si="1"/>
        <v>3.2832667301920204</v>
      </c>
      <c r="E11" s="21">
        <f t="shared" si="1"/>
        <v>2.1052272815744693</v>
      </c>
      <c r="F11" s="21">
        <f t="shared" si="1"/>
        <v>1.5940782794187156</v>
      </c>
      <c r="G11" s="21">
        <f t="shared" si="1"/>
        <v>1.3463055933742647</v>
      </c>
      <c r="H11" s="21">
        <f t="shared" si="1"/>
        <v>1.2166733650352088</v>
      </c>
      <c r="I11" s="21">
        <f t="shared" si="1"/>
        <v>1.1326092857415617</v>
      </c>
      <c r="J11" s="21">
        <f t="shared" si="1"/>
        <v>1.0821383841801369</v>
      </c>
      <c r="K11" s="21">
        <f t="shared" si="1"/>
        <v>1.0484218551277604</v>
      </c>
      <c r="L11" s="24">
        <f>+K9</f>
        <v>1.0239247311827957</v>
      </c>
      <c r="M11" s="25" t="s">
        <v>30</v>
      </c>
    </row>
    <row r="12" spans="1:13" x14ac:dyDescent="0.25">
      <c r="B12" s="12" t="s">
        <v>32</v>
      </c>
      <c r="C12" s="21">
        <f t="shared" ref="C12:K12" si="2">D12*C$9</f>
        <v>6.8404261998565437</v>
      </c>
      <c r="D12" s="21">
        <f t="shared" si="2"/>
        <v>3.3618180041132808</v>
      </c>
      <c r="E12" s="21">
        <f t="shared" si="2"/>
        <v>2.1555942783648261</v>
      </c>
      <c r="F12" s="21">
        <f t="shared" si="2"/>
        <v>1.632216173738142</v>
      </c>
      <c r="G12" s="21">
        <f t="shared" si="2"/>
        <v>1.3785155927856385</v>
      </c>
      <c r="H12" s="21">
        <f t="shared" si="2"/>
        <v>1.2457819482309438</v>
      </c>
      <c r="I12" s="21">
        <f t="shared" si="2"/>
        <v>1.1597066584380669</v>
      </c>
      <c r="J12" s="21">
        <f t="shared" si="2"/>
        <v>1.1080282541242314</v>
      </c>
      <c r="K12" s="21">
        <f t="shared" si="2"/>
        <v>1.07350506617786</v>
      </c>
      <c r="L12" s="24">
        <f>+K9^2</f>
        <v>1.0484218551277604</v>
      </c>
      <c r="M12" s="25" t="s">
        <v>31</v>
      </c>
    </row>
    <row r="13" spans="1:13" x14ac:dyDescent="0.25">
      <c r="B13" s="12" t="s">
        <v>33</v>
      </c>
      <c r="C13" s="21">
        <f t="shared" ref="C13:K13" si="3">D13*C$9</f>
        <v>6.8366916244775604</v>
      </c>
      <c r="D13" s="21">
        <f t="shared" si="3"/>
        <v>3.3599825976079014</v>
      </c>
      <c r="E13" s="21">
        <f t="shared" si="3"/>
        <v>2.1544174175839541</v>
      </c>
      <c r="F13" s="21">
        <f t="shared" si="3"/>
        <v>1.6313250546532303</v>
      </c>
      <c r="G13" s="21">
        <f t="shared" si="3"/>
        <v>1.3777629831905709</v>
      </c>
      <c r="H13" s="21">
        <f t="shared" si="3"/>
        <v>1.2451018054363991</v>
      </c>
      <c r="I13" s="21">
        <f t="shared" si="3"/>
        <v>1.1590735090103985</v>
      </c>
      <c r="J13" s="21">
        <f t="shared" si="3"/>
        <v>1.1074233188590636</v>
      </c>
      <c r="K13" s="21">
        <f t="shared" si="3"/>
        <v>1.0729189790727252</v>
      </c>
      <c r="L13" s="24">
        <f>(K9-1)*2+1</f>
        <v>1.0478494623655914</v>
      </c>
      <c r="M13" s="25" t="s">
        <v>34</v>
      </c>
    </row>
    <row r="14" spans="1:13" x14ac:dyDescent="0.25">
      <c r="B14" s="12" t="s">
        <v>8</v>
      </c>
      <c r="C14" s="21">
        <f>+G21</f>
        <v>6.6299612530709533</v>
      </c>
      <c r="D14" s="21">
        <f>+G22</f>
        <v>3.2584465784002328</v>
      </c>
      <c r="E14" s="21">
        <f>+G23</f>
        <v>2.0908923116017921</v>
      </c>
      <c r="F14" s="21">
        <f>+G24</f>
        <v>1.5848497776106969</v>
      </c>
      <c r="G14" s="21">
        <f>+G25</f>
        <v>1.3330387565066</v>
      </c>
      <c r="H14" s="21">
        <f>+G26</f>
        <v>1.1965162521376895</v>
      </c>
      <c r="I14" s="21">
        <f>+G27</f>
        <v>1.1184485437817251</v>
      </c>
      <c r="J14" s="21">
        <f>+G28</f>
        <v>1.0723380093784518</v>
      </c>
      <c r="K14" s="21">
        <f>+G29</f>
        <v>1.0445529021804518</v>
      </c>
      <c r="L14" s="24">
        <f>+G30</f>
        <v>1.0275975427254813</v>
      </c>
    </row>
    <row r="15" spans="1:13" x14ac:dyDescent="0.25">
      <c r="B15" s="12" t="s">
        <v>22</v>
      </c>
      <c r="C15" s="21">
        <f t="shared" ref="C15:L15" si="4">+D60</f>
        <v>8.1186716038386866</v>
      </c>
      <c r="D15" s="21">
        <f t="shared" si="4"/>
        <v>3.5736484384040819</v>
      </c>
      <c r="E15" s="21">
        <f t="shared" si="4"/>
        <v>2.2639156276486343</v>
      </c>
      <c r="F15" s="21">
        <f t="shared" si="4"/>
        <v>1.6947883531842116</v>
      </c>
      <c r="G15" s="21">
        <f t="shared" si="4"/>
        <v>1.4126674730432267</v>
      </c>
      <c r="H15" s="21">
        <f t="shared" si="4"/>
        <v>1.2427770004943282</v>
      </c>
      <c r="I15" s="21">
        <f t="shared" si="4"/>
        <v>1.1528431637011785</v>
      </c>
      <c r="J15" s="21">
        <f t="shared" si="4"/>
        <v>1.1022636779784734</v>
      </c>
      <c r="K15" s="21">
        <f t="shared" si="4"/>
        <v>1.0670738767922907</v>
      </c>
      <c r="L15" s="24">
        <f t="shared" si="4"/>
        <v>1.0429542837308288</v>
      </c>
    </row>
    <row r="18" spans="1:11" x14ac:dyDescent="0.25">
      <c r="A18" s="26" t="s">
        <v>23</v>
      </c>
      <c r="B18" s="9"/>
      <c r="C18" s="9"/>
      <c r="D18" s="9"/>
    </row>
    <row r="19" spans="1:11" x14ac:dyDescent="0.25">
      <c r="A19" s="26"/>
      <c r="B19" s="17">
        <v>1</v>
      </c>
      <c r="C19" s="17">
        <f t="shared" ref="C19:H19" si="5">B19+1</f>
        <v>2</v>
      </c>
      <c r="D19" s="17">
        <f t="shared" si="5"/>
        <v>3</v>
      </c>
      <c r="E19" s="17">
        <f t="shared" si="5"/>
        <v>4</v>
      </c>
      <c r="F19" s="17">
        <f t="shared" si="5"/>
        <v>5</v>
      </c>
      <c r="G19" s="17">
        <f t="shared" si="5"/>
        <v>6</v>
      </c>
      <c r="H19" s="17">
        <f t="shared" si="5"/>
        <v>7</v>
      </c>
    </row>
    <row r="20" spans="1:11" x14ac:dyDescent="0.25">
      <c r="B20" s="3" t="s">
        <v>20</v>
      </c>
      <c r="C20" s="18" t="s">
        <v>35</v>
      </c>
      <c r="D20" s="18" t="s">
        <v>57</v>
      </c>
      <c r="E20" s="18" t="s">
        <v>39</v>
      </c>
      <c r="F20" s="18" t="s">
        <v>38</v>
      </c>
      <c r="G20" s="18" t="s">
        <v>40</v>
      </c>
      <c r="H20" s="18" t="s">
        <v>37</v>
      </c>
    </row>
    <row r="21" spans="1:11" x14ac:dyDescent="0.25">
      <c r="B21" s="8" t="str">
        <f>'10-Year Loss History'!C20</f>
        <v>12-24</v>
      </c>
      <c r="C21" s="56">
        <f>+C9</f>
        <v>2.0347401886381373</v>
      </c>
      <c r="D21" s="27">
        <f>LN(C21)</f>
        <v>0.71036813931297671</v>
      </c>
      <c r="E21" s="28">
        <f>(D21-LN($D$34)*$D$33^($H21-1))^2</f>
        <v>3.9011911569030179E-10</v>
      </c>
      <c r="F21" s="10">
        <f>D34</f>
        <v>2.0347</v>
      </c>
      <c r="G21" s="10">
        <f>F21*G22</f>
        <v>6.6299612530709533</v>
      </c>
      <c r="H21" s="2">
        <v>1</v>
      </c>
    </row>
    <row r="22" spans="1:11" x14ac:dyDescent="0.25">
      <c r="B22" s="8" t="str">
        <f>'10-Year Loss History'!D20</f>
        <v>24-36</v>
      </c>
      <c r="C22" s="56">
        <f>+D9</f>
        <v>1.559578274007789</v>
      </c>
      <c r="D22" s="27">
        <f t="shared" ref="D22:D29" si="6">LN(C22)</f>
        <v>0.44441544753927059</v>
      </c>
      <c r="E22" s="28">
        <f t="shared" ref="E21:E29" si="7">(D22-LN($D$34)*$D$33^($H22-1))^2</f>
        <v>5.8592567461944984E-7</v>
      </c>
      <c r="F22" s="10">
        <f>ROUND(F21^$D$33,4)</f>
        <v>1.5584</v>
      </c>
      <c r="G22" s="10">
        <f t="shared" ref="G21:G29" si="8">F22*G23</f>
        <v>3.2584465784002328</v>
      </c>
      <c r="H22" s="2">
        <f>+H21+1</f>
        <v>2</v>
      </c>
    </row>
    <row r="23" spans="1:11" x14ac:dyDescent="0.25">
      <c r="B23" s="8" t="str">
        <f>'10-Year Loss History'!E20</f>
        <v>36-48</v>
      </c>
      <c r="C23" s="56">
        <f>+E9</f>
        <v>1.3206548942766758</v>
      </c>
      <c r="D23" s="27">
        <f t="shared" si="6"/>
        <v>0.2781277455932617</v>
      </c>
      <c r="E23" s="28">
        <f t="shared" si="7"/>
        <v>1.0919316271534543E-6</v>
      </c>
      <c r="F23" s="10">
        <f t="shared" ref="F23:F29" si="9">ROUND(F22^$D$33,4)</f>
        <v>1.3192999999999999</v>
      </c>
      <c r="G23" s="10">
        <f t="shared" si="8"/>
        <v>2.0908923116017921</v>
      </c>
      <c r="H23" s="2">
        <f t="shared" ref="H23:H29" si="10">+H22+1</f>
        <v>3</v>
      </c>
    </row>
    <row r="24" spans="1:11" x14ac:dyDescent="0.25">
      <c r="B24" s="8" t="str">
        <f>'10-Year Loss History'!F20</f>
        <v>48-60</v>
      </c>
      <c r="C24" s="56">
        <f>+F9</f>
        <v>1.1840389635635804</v>
      </c>
      <c r="D24" s="27">
        <f t="shared" si="6"/>
        <v>0.16893144433553009</v>
      </c>
      <c r="E24" s="28">
        <f t="shared" si="7"/>
        <v>1.6985567368209015E-5</v>
      </c>
      <c r="F24" s="10">
        <f t="shared" si="9"/>
        <v>1.1889000000000001</v>
      </c>
      <c r="G24" s="10">
        <f t="shared" si="8"/>
        <v>1.5848497776106969</v>
      </c>
      <c r="H24" s="2">
        <f t="shared" si="10"/>
        <v>4</v>
      </c>
    </row>
    <row r="25" spans="1:11" x14ac:dyDescent="0.25">
      <c r="B25" s="8" t="str">
        <f>'10-Year Loss History'!G20</f>
        <v>60-72</v>
      </c>
      <c r="C25" s="56">
        <f>+G9</f>
        <v>1.1065464503986282</v>
      </c>
      <c r="D25" s="27">
        <f t="shared" si="6"/>
        <v>0.10124385920184711</v>
      </c>
      <c r="E25" s="28">
        <f t="shared" si="7"/>
        <v>4.6740884086202666E-5</v>
      </c>
      <c r="F25" s="10">
        <f t="shared" si="9"/>
        <v>1.1141000000000001</v>
      </c>
      <c r="G25" s="10">
        <f t="shared" si="8"/>
        <v>1.3330387565066</v>
      </c>
      <c r="H25" s="2">
        <f t="shared" si="10"/>
        <v>5</v>
      </c>
    </row>
    <row r="26" spans="1:11" x14ac:dyDescent="0.25">
      <c r="B26" s="8" t="str">
        <f>'10-Year Loss History'!H20</f>
        <v>72-84</v>
      </c>
      <c r="C26" s="56">
        <f>+H9</f>
        <v>1.074221605236626</v>
      </c>
      <c r="D26" s="27">
        <f t="shared" si="6"/>
        <v>7.1596311149208294E-2</v>
      </c>
      <c r="E26" s="28">
        <f t="shared" si="7"/>
        <v>1.6763203535810105E-5</v>
      </c>
      <c r="F26" s="10">
        <f t="shared" si="9"/>
        <v>1.0698000000000001</v>
      </c>
      <c r="G26" s="10">
        <f t="shared" si="8"/>
        <v>1.1965162521376895</v>
      </c>
      <c r="H26" s="2">
        <f t="shared" si="10"/>
        <v>6</v>
      </c>
    </row>
    <row r="27" spans="1:11" x14ac:dyDescent="0.25">
      <c r="B27" s="8">
        <f>+'10-Year Loss History'!I52</f>
        <v>0</v>
      </c>
      <c r="C27" s="56">
        <f>+I9</f>
        <v>1.0466399698035509</v>
      </c>
      <c r="D27" s="27">
        <f t="shared" si="6"/>
        <v>4.5585004369637569E-2</v>
      </c>
      <c r="E27" s="28">
        <f t="shared" si="7"/>
        <v>1.174046081499164E-5</v>
      </c>
      <c r="F27" s="10">
        <f t="shared" si="9"/>
        <v>1.0429999999999999</v>
      </c>
      <c r="G27" s="10">
        <f t="shared" si="8"/>
        <v>1.1184485437817251</v>
      </c>
      <c r="H27" s="2">
        <f t="shared" si="10"/>
        <v>7</v>
      </c>
    </row>
    <row r="28" spans="1:11" x14ac:dyDescent="0.25">
      <c r="B28" s="8">
        <f>+'10-Year Loss History'!J52</f>
        <v>0</v>
      </c>
      <c r="C28" s="56">
        <f>+J9</f>
        <v>1.0321593153437914</v>
      </c>
      <c r="D28" s="27">
        <f t="shared" si="6"/>
        <v>3.1653030477856607E-2</v>
      </c>
      <c r="E28" s="28">
        <f t="shared" si="7"/>
        <v>2.8332022466212222E-5</v>
      </c>
      <c r="F28" s="10">
        <f t="shared" si="9"/>
        <v>1.0266</v>
      </c>
      <c r="G28" s="10">
        <f t="shared" si="8"/>
        <v>1.0723380093784518</v>
      </c>
      <c r="H28" s="2">
        <f t="shared" si="10"/>
        <v>8</v>
      </c>
    </row>
    <row r="29" spans="1:11" ht="13.8" thickBot="1" x14ac:dyDescent="0.3">
      <c r="B29" s="8">
        <f>+'10-Year Loss History'!K52</f>
        <v>0</v>
      </c>
      <c r="C29" s="56">
        <f>+K9</f>
        <v>1.0239247311827957</v>
      </c>
      <c r="D29" s="27">
        <f t="shared" si="6"/>
        <v>2.3643019211411802E-2</v>
      </c>
      <c r="E29" s="28">
        <f t="shared" si="7"/>
        <v>5.181685865697478E-5</v>
      </c>
      <c r="F29" s="10">
        <f t="shared" si="9"/>
        <v>1.0165</v>
      </c>
      <c r="G29" s="10">
        <f t="shared" si="8"/>
        <v>1.0445529021804518</v>
      </c>
      <c r="H29" s="2">
        <f t="shared" si="10"/>
        <v>9</v>
      </c>
    </row>
    <row r="30" spans="1:11" ht="20.25" customHeight="1" thickBot="1" x14ac:dyDescent="0.3">
      <c r="B30" s="8"/>
      <c r="C30" s="10"/>
      <c r="D30" s="29"/>
      <c r="E30" s="10"/>
      <c r="F30" s="28"/>
      <c r="G30" s="55">
        <f>F29^($D$33/(1-$D$33))</f>
        <v>1.0275975427254813</v>
      </c>
      <c r="H30" s="30" t="s">
        <v>41</v>
      </c>
      <c r="I30" s="38"/>
      <c r="J30" s="10"/>
      <c r="K30" s="10"/>
    </row>
    <row r="31" spans="1:11" x14ac:dyDescent="0.25">
      <c r="D31" s="12" t="s">
        <v>10</v>
      </c>
      <c r="E31" s="28">
        <f>SUM(E21:E29)</f>
        <v>1.7405724434928902E-4</v>
      </c>
      <c r="F31" s="40" t="s">
        <v>58</v>
      </c>
      <c r="J31" s="10"/>
      <c r="K31" s="10"/>
    </row>
    <row r="32" spans="1:11" x14ac:dyDescent="0.25">
      <c r="J32" s="10"/>
      <c r="K32" s="10"/>
    </row>
    <row r="33" spans="1:12" x14ac:dyDescent="0.25">
      <c r="B33" s="47" t="s">
        <v>7</v>
      </c>
      <c r="C33" s="46"/>
      <c r="D33" s="58">
        <v>0.62455268047165213</v>
      </c>
      <c r="E33" s="22" t="s">
        <v>55</v>
      </c>
      <c r="F33" s="60" t="s">
        <v>59</v>
      </c>
      <c r="J33" s="10"/>
      <c r="K33" s="10"/>
    </row>
    <row r="34" spans="1:12" x14ac:dyDescent="0.25">
      <c r="B34" s="47" t="s">
        <v>5</v>
      </c>
      <c r="C34" s="54"/>
      <c r="D34" s="39">
        <v>2.0347</v>
      </c>
      <c r="E34" s="22" t="s">
        <v>56</v>
      </c>
      <c r="J34" s="10"/>
      <c r="K34" s="10"/>
    </row>
    <row r="35" spans="1:12" x14ac:dyDescent="0.25">
      <c r="B35" s="46"/>
      <c r="C35" s="54"/>
      <c r="D35" s="10"/>
      <c r="J35" s="10"/>
      <c r="K35" s="10"/>
    </row>
    <row r="36" spans="1:12" x14ac:dyDescent="0.25">
      <c r="J36" s="10"/>
      <c r="K36" s="10"/>
    </row>
    <row r="37" spans="1:12" x14ac:dyDescent="0.25">
      <c r="C37" s="31"/>
      <c r="D37" s="31"/>
      <c r="E37" s="31"/>
      <c r="F37" s="13"/>
      <c r="G37" s="13"/>
      <c r="H37" s="13"/>
      <c r="I37" s="13"/>
      <c r="J37" s="20"/>
      <c r="K37" s="20"/>
    </row>
    <row r="38" spans="1:12" x14ac:dyDescent="0.25">
      <c r="A38" s="32" t="s">
        <v>24</v>
      </c>
      <c r="B38" s="22"/>
      <c r="C38" s="33"/>
      <c r="D38" s="33"/>
      <c r="E38" s="33"/>
      <c r="F38" s="33"/>
      <c r="G38" s="33"/>
      <c r="H38" s="33"/>
      <c r="I38" s="33"/>
      <c r="J38" s="33"/>
      <c r="K38" s="33"/>
    </row>
    <row r="39" spans="1:12" x14ac:dyDescent="0.25">
      <c r="A39" s="22"/>
      <c r="B39" s="22"/>
      <c r="C39" s="33"/>
      <c r="D39" s="33"/>
      <c r="E39" s="33"/>
      <c r="F39" s="33"/>
      <c r="G39" s="33"/>
      <c r="H39" s="33"/>
      <c r="I39" s="33"/>
      <c r="J39" s="33"/>
      <c r="K39" s="33"/>
    </row>
    <row r="40" spans="1:12" ht="19.5" customHeight="1" x14ac:dyDescent="0.25">
      <c r="A40" s="22"/>
      <c r="B40" s="4" t="s">
        <v>42</v>
      </c>
      <c r="C40" s="14" t="s">
        <v>44</v>
      </c>
      <c r="D40" s="50" t="s">
        <v>46</v>
      </c>
      <c r="E40" s="50"/>
      <c r="F40" s="50"/>
      <c r="G40" s="50"/>
      <c r="H40" s="50"/>
      <c r="I40" s="50"/>
      <c r="J40" s="50"/>
      <c r="K40" s="50"/>
      <c r="L40" s="51"/>
    </row>
    <row r="41" spans="1:12" x14ac:dyDescent="0.25">
      <c r="B41" s="34" t="s">
        <v>43</v>
      </c>
      <c r="C41" s="35" t="s">
        <v>45</v>
      </c>
      <c r="D41" s="14" t="str">
        <f>'10-Year Loss History'!C20</f>
        <v>12-24</v>
      </c>
      <c r="E41" s="14" t="str">
        <f>'10-Year Loss History'!D20</f>
        <v>24-36</v>
      </c>
      <c r="F41" s="14" t="str">
        <f>'10-Year Loss History'!E20</f>
        <v>36-48</v>
      </c>
      <c r="G41" s="14" t="str">
        <f>'10-Year Loss History'!F20</f>
        <v>48-60</v>
      </c>
      <c r="H41" s="14" t="str">
        <f>'10-Year Loss History'!G20</f>
        <v>60-72</v>
      </c>
      <c r="I41" s="14" t="str">
        <f>'10-Year Loss History'!H20</f>
        <v>72-84</v>
      </c>
      <c r="J41" s="14" t="str">
        <f>'10-Year Loss History'!I20</f>
        <v>84-96</v>
      </c>
      <c r="K41" s="14" t="str">
        <f>'10-Year Loss History'!J20</f>
        <v>96-108</v>
      </c>
      <c r="L41" s="4" t="str">
        <f>'10-Year Loss History'!K20</f>
        <v>108-120</v>
      </c>
    </row>
    <row r="42" spans="1:12" x14ac:dyDescent="0.25">
      <c r="B42" s="8">
        <f>'10-Year Loss History'!B8</f>
        <v>2000</v>
      </c>
      <c r="C42" s="36">
        <v>2.0895424356626</v>
      </c>
      <c r="D42" s="20"/>
      <c r="E42" s="20"/>
      <c r="F42" s="20"/>
      <c r="G42" s="20"/>
      <c r="H42" s="20"/>
      <c r="I42" s="20"/>
      <c r="J42" s="20">
        <f>(LN('10-Year Loss History'!I21)-LN($C42)*$C$52^(J$54-1))^2</f>
        <v>4.1191250439815532E-6</v>
      </c>
      <c r="K42" s="20">
        <f>(LN('10-Year Loss History'!J21)-LN($C42)*$C$52^(K$54-1))^2</f>
        <v>1.3046950753137177E-5</v>
      </c>
      <c r="L42" s="20">
        <f>(LN('10-Year Loss History'!K21)-LN($C42)*$C$52^(L$54-1))^2</f>
        <v>6.0864178754903728E-7</v>
      </c>
    </row>
    <row r="43" spans="1:12" x14ac:dyDescent="0.25">
      <c r="B43" s="8">
        <f>'10-Year Loss History'!B9</f>
        <v>2001</v>
      </c>
      <c r="C43" s="36">
        <v>1.9689950106535692</v>
      </c>
      <c r="D43" s="20"/>
      <c r="E43" s="20"/>
      <c r="F43" s="20"/>
      <c r="G43" s="20"/>
      <c r="H43" s="20"/>
      <c r="I43" s="20">
        <f>(LN('10-Year Loss History'!H22)-LN($C43)*$C$52^(I$54-1))^2</f>
        <v>3.5100315990341646E-5</v>
      </c>
      <c r="J43" s="20">
        <f>(LN('10-Year Loss History'!I22)-LN($C43)*$C$52^(J$54-1))^2</f>
        <v>7.4804266974031733E-5</v>
      </c>
      <c r="K43" s="20">
        <f>(LN('10-Year Loss History'!J22)-LN($C43)*$C$52^(K$54-1))^2</f>
        <v>6.7078527307079686E-7</v>
      </c>
      <c r="L43" s="20"/>
    </row>
    <row r="44" spans="1:12" x14ac:dyDescent="0.25">
      <c r="B44" s="8">
        <f>'10-Year Loss History'!B10</f>
        <v>2002</v>
      </c>
      <c r="C44" s="36">
        <v>1.834789673665103</v>
      </c>
      <c r="D44" s="20"/>
      <c r="E44" s="20"/>
      <c r="F44" s="20"/>
      <c r="G44" s="20"/>
      <c r="H44" s="20">
        <f>(LN('10-Year Loss History'!G23)-LN($C44)*$C$52^(H$54-1))^2</f>
        <v>9.5448813162186998E-5</v>
      </c>
      <c r="I44" s="20">
        <f>(LN('10-Year Loss History'!H23)-LN($C44)*$C$52^(I$54-1))^2</f>
        <v>3.6651487051219647E-4</v>
      </c>
      <c r="J44" s="20">
        <f>(LN('10-Year Loss History'!I23)-LN($C44)*$C$52^(J$54-1))^2</f>
        <v>3.7731876441592168E-5</v>
      </c>
      <c r="K44" s="20"/>
      <c r="L44" s="20"/>
    </row>
    <row r="45" spans="1:12" x14ac:dyDescent="0.25">
      <c r="B45" s="8">
        <f>'10-Year Loss History'!B11</f>
        <v>2003</v>
      </c>
      <c r="C45" s="36">
        <v>1.9315228549148065</v>
      </c>
      <c r="D45" s="20"/>
      <c r="E45" s="20"/>
      <c r="F45" s="20"/>
      <c r="G45" s="20">
        <f>(LN('10-Year Loss History'!F24)-LN($C45)*$C$52^(G$54-1))^2</f>
        <v>9.9688559864441271E-6</v>
      </c>
      <c r="H45" s="20">
        <f>(LN('10-Year Loss History'!G24)-LN($C45)*$C$52^(H$54-1))^2</f>
        <v>3.7411576817418469E-4</v>
      </c>
      <c r="I45" s="20">
        <f>(LN('10-Year Loss History'!H24)-LN($C45)*$C$52^(I$54-1))^2</f>
        <v>4.9513205232303828E-4</v>
      </c>
      <c r="J45" s="20"/>
      <c r="K45" s="20"/>
      <c r="L45" s="20"/>
    </row>
    <row r="46" spans="1:12" x14ac:dyDescent="0.25">
      <c r="B46" s="8">
        <f>'10-Year Loss History'!B12</f>
        <v>2004</v>
      </c>
      <c r="C46" s="36">
        <v>2.0698115139779576</v>
      </c>
      <c r="D46" s="20"/>
      <c r="E46" s="20"/>
      <c r="F46" s="20">
        <f>(LN('10-Year Loss History'!E25)-LN($C46)*$C$52^(F$54-1))^2</f>
        <v>2.5924669994711159E-6</v>
      </c>
      <c r="G46" s="20">
        <f>(LN('10-Year Loss History'!F25)-LN($C46)*$C$52^(G$54-1))^2</f>
        <v>1.7612179287280509E-4</v>
      </c>
      <c r="H46" s="20">
        <f>(LN('10-Year Loss History'!G25)-LN($C46)*$C$52^(H$54-1))^2</f>
        <v>6.0207351516190159E-4</v>
      </c>
      <c r="I46" s="20"/>
      <c r="J46" s="20"/>
      <c r="K46" s="20"/>
      <c r="L46" s="20"/>
    </row>
    <row r="47" spans="1:12" x14ac:dyDescent="0.25">
      <c r="B47" s="8">
        <f>'10-Year Loss History'!B13</f>
        <v>2005</v>
      </c>
      <c r="C47" s="36">
        <v>1.953626026156402</v>
      </c>
      <c r="D47" s="20"/>
      <c r="E47" s="20">
        <f>(LN('10-Year Loss History'!D26)-LN($C47)*$C$52^(E$54-1))^2</f>
        <v>5.7628858673392923E-4</v>
      </c>
      <c r="F47" s="20">
        <f>(LN('10-Year Loss History'!E26)-LN($C47)*$C$52^(F$54-1))^2</f>
        <v>1.548840938341149E-3</v>
      </c>
      <c r="G47" s="20">
        <f>(LN('10-Year Loss History'!F26)-LN($C47)*$C$52^(G$54-1))^2</f>
        <v>1.3430156314073026E-5</v>
      </c>
      <c r="H47" s="20"/>
      <c r="I47" s="20"/>
      <c r="J47" s="20"/>
      <c r="K47" s="20"/>
      <c r="L47" s="20"/>
    </row>
    <row r="48" spans="1:12" x14ac:dyDescent="0.25">
      <c r="B48" s="8">
        <f>'10-Year Loss History'!B14</f>
        <v>2006</v>
      </c>
      <c r="C48" s="36">
        <v>1.9935022031353069</v>
      </c>
      <c r="D48" s="20">
        <f>(LN('10-Year Loss History'!C27)-LN($C48)*$C$52^(D$54-1))^2</f>
        <v>5.33960985428709E-4</v>
      </c>
      <c r="E48" s="20">
        <f>(LN('10-Year Loss History'!D27)-LN($C48)*$C$52^(E$54-1))^2</f>
        <v>2.1281456316167178E-3</v>
      </c>
      <c r="F48" s="20">
        <f>(LN('10-Year Loss History'!E27)-LN($C48)*$C$52^(F$54-1))^2</f>
        <v>2.5670168498269466E-4</v>
      </c>
      <c r="G48" s="20"/>
      <c r="H48" s="20"/>
      <c r="I48" s="20"/>
      <c r="J48" s="20"/>
      <c r="K48" s="20"/>
      <c r="L48" s="20"/>
    </row>
    <row r="49" spans="1:14" x14ac:dyDescent="0.25">
      <c r="B49" s="8">
        <f>'10-Year Loss History'!B15</f>
        <v>2007</v>
      </c>
      <c r="C49" s="36">
        <v>2.0231285222201851</v>
      </c>
      <c r="D49" s="20">
        <f>(LN('10-Year Loss History'!C28)-LN($C49)*$C$52^(D$54-1))^2</f>
        <v>5.5153425572503306E-4</v>
      </c>
      <c r="E49" s="20">
        <f>(LN('10-Year Loss History'!D28)-LN($C49)*$C$52^(E$54-1))^2</f>
        <v>1.2837354738374851E-3</v>
      </c>
      <c r="F49" s="20"/>
      <c r="G49" s="20"/>
      <c r="H49" s="20"/>
      <c r="I49" s="20"/>
      <c r="J49" s="20"/>
      <c r="K49" s="20"/>
      <c r="L49" s="20"/>
    </row>
    <row r="50" spans="1:14" x14ac:dyDescent="0.25">
      <c r="B50" s="8">
        <f>'10-Year Loss History'!B16</f>
        <v>2008</v>
      </c>
      <c r="C50" s="36">
        <v>2.2718159728840921</v>
      </c>
      <c r="D50" s="20">
        <f>(LN('10-Year Loss History'!C29)-LN($C50)*$C$52^(D$54-1))^2</f>
        <v>1.6084298081516824E-7</v>
      </c>
      <c r="E50" s="20"/>
      <c r="F50" s="20"/>
      <c r="G50" s="20"/>
      <c r="H50" s="20"/>
      <c r="I50" s="20"/>
      <c r="J50" s="20"/>
      <c r="K50" s="20"/>
      <c r="L50" s="20"/>
    </row>
    <row r="51" spans="1:14" x14ac:dyDescent="0.25">
      <c r="B51" s="8"/>
      <c r="C51" s="36"/>
      <c r="D51" s="10"/>
      <c r="E51" s="10"/>
      <c r="F51" s="10"/>
      <c r="G51" s="10"/>
      <c r="H51" s="10"/>
    </row>
    <row r="52" spans="1:14" x14ac:dyDescent="0.25">
      <c r="B52" s="12" t="s">
        <v>53</v>
      </c>
      <c r="C52" s="36">
        <v>0.64783131451590981</v>
      </c>
      <c r="D52" s="22" t="s">
        <v>55</v>
      </c>
      <c r="E52" s="10"/>
      <c r="F52" s="10"/>
      <c r="G52" s="10"/>
      <c r="H52" s="10"/>
    </row>
    <row r="53" spans="1:14" x14ac:dyDescent="0.25">
      <c r="B53" s="9"/>
      <c r="C53" s="15"/>
    </row>
    <row r="54" spans="1:14" x14ac:dyDescent="0.25">
      <c r="C54" s="12" t="s">
        <v>36</v>
      </c>
      <c r="D54" s="8">
        <v>1</v>
      </c>
      <c r="E54" s="8">
        <f>+D54+1</f>
        <v>2</v>
      </c>
      <c r="F54" s="8">
        <f t="shared" ref="F54:L54" si="11">+E54+1</f>
        <v>3</v>
      </c>
      <c r="G54" s="8">
        <f t="shared" si="11"/>
        <v>4</v>
      </c>
      <c r="H54" s="8">
        <f t="shared" si="11"/>
        <v>5</v>
      </c>
      <c r="I54" s="8">
        <f t="shared" si="11"/>
        <v>6</v>
      </c>
      <c r="J54" s="8">
        <f t="shared" si="11"/>
        <v>7</v>
      </c>
      <c r="K54" s="8">
        <f t="shared" si="11"/>
        <v>8</v>
      </c>
      <c r="L54" s="8">
        <f t="shared" si="11"/>
        <v>9</v>
      </c>
    </row>
    <row r="55" spans="1:14" ht="13.8" thickBot="1" x14ac:dyDescent="0.3">
      <c r="B55" s="9"/>
      <c r="C55" s="15"/>
    </row>
    <row r="56" spans="1:14" ht="13.8" thickBot="1" x14ac:dyDescent="0.3">
      <c r="B56" s="47" t="s">
        <v>6</v>
      </c>
      <c r="C56" s="47"/>
      <c r="D56" s="41">
        <f>SUM(D48:D50,E47:E49,F46:F48,G45:G47,H44:H46,I43:I45,J42:J44,K42:K43,L42)</f>
        <v>9.1808486534165346E-3</v>
      </c>
      <c r="E56" s="40" t="s">
        <v>47</v>
      </c>
    </row>
    <row r="57" spans="1:14" x14ac:dyDescent="0.25">
      <c r="C57" s="8"/>
    </row>
    <row r="58" spans="1:14" x14ac:dyDescent="0.25">
      <c r="C58" s="11" t="s">
        <v>20</v>
      </c>
      <c r="D58" s="8" t="str">
        <f t="shared" ref="D58:L58" si="12">D41</f>
        <v>12-24</v>
      </c>
      <c r="E58" s="8" t="str">
        <f t="shared" si="12"/>
        <v>24-36</v>
      </c>
      <c r="F58" s="8" t="str">
        <f t="shared" si="12"/>
        <v>36-48</v>
      </c>
      <c r="G58" s="8" t="str">
        <f t="shared" si="12"/>
        <v>48-60</v>
      </c>
      <c r="H58" s="8" t="str">
        <f t="shared" si="12"/>
        <v>60-72</v>
      </c>
      <c r="I58" s="8" t="str">
        <f t="shared" si="12"/>
        <v>72-84</v>
      </c>
      <c r="J58" s="8" t="str">
        <f t="shared" si="12"/>
        <v>84-96</v>
      </c>
      <c r="K58" s="8" t="str">
        <f t="shared" si="12"/>
        <v>96-108</v>
      </c>
      <c r="L58" s="8" t="str">
        <f t="shared" si="12"/>
        <v>108-120</v>
      </c>
      <c r="M58" s="8" t="s">
        <v>28</v>
      </c>
    </row>
    <row r="59" spans="1:14" x14ac:dyDescent="0.25">
      <c r="C59" s="12" t="s">
        <v>19</v>
      </c>
      <c r="D59" s="10">
        <f>C50</f>
        <v>2.2718159728840921</v>
      </c>
      <c r="E59" s="10">
        <f>C49^C52</f>
        <v>1.5785254515495228</v>
      </c>
      <c r="F59" s="10">
        <f>C48^(C52^2)</f>
        <v>1.3358102345907275</v>
      </c>
      <c r="G59" s="10">
        <f>C47^(C52^3)</f>
        <v>1.1997079181933936</v>
      </c>
      <c r="H59" s="10">
        <f>C46^(C52^4)</f>
        <v>1.1367022985469821</v>
      </c>
      <c r="I59" s="10">
        <f>C45^(C52^5)</f>
        <v>1.0780104697888124</v>
      </c>
      <c r="J59" s="10">
        <f>C44^(C52^6)</f>
        <v>1.0458869204648626</v>
      </c>
      <c r="K59" s="10">
        <f>C43^(C52^7)</f>
        <v>1.0329778490051373</v>
      </c>
      <c r="L59" s="10">
        <f>C42^(C52^8)</f>
        <v>1.023126222728749</v>
      </c>
      <c r="M59" s="10"/>
    </row>
    <row r="60" spans="1:14" x14ac:dyDescent="0.25">
      <c r="C60" s="12" t="s">
        <v>17</v>
      </c>
      <c r="D60" s="10">
        <f t="shared" ref="D60:L60" si="13">D59*E60</f>
        <v>8.1186716038386866</v>
      </c>
      <c r="E60" s="10">
        <f t="shared" si="13"/>
        <v>3.5736484384040819</v>
      </c>
      <c r="F60" s="10">
        <f t="shared" si="13"/>
        <v>2.2639156276486343</v>
      </c>
      <c r="G60" s="10">
        <f t="shared" si="13"/>
        <v>1.6947883531842116</v>
      </c>
      <c r="H60" s="10">
        <f t="shared" si="13"/>
        <v>1.4126674730432267</v>
      </c>
      <c r="I60" s="10">
        <f t="shared" si="13"/>
        <v>1.2427770004943282</v>
      </c>
      <c r="J60" s="10">
        <f t="shared" si="13"/>
        <v>1.1528431637011785</v>
      </c>
      <c r="K60" s="10">
        <f t="shared" si="13"/>
        <v>1.1022636779784734</v>
      </c>
      <c r="L60" s="10">
        <f t="shared" si="13"/>
        <v>1.0670738767922907</v>
      </c>
      <c r="M60" s="10">
        <f>L59^($C$52/(1-$C$52))</f>
        <v>1.0429542837308288</v>
      </c>
    </row>
    <row r="62" spans="1:14" x14ac:dyDescent="0.25">
      <c r="J62" s="10"/>
      <c r="K62" s="10"/>
    </row>
    <row r="63" spans="1:14" x14ac:dyDescent="0.25">
      <c r="A63" s="2" t="s">
        <v>48</v>
      </c>
      <c r="D63" s="53" t="s">
        <v>52</v>
      </c>
      <c r="E63" s="53"/>
      <c r="F63" s="53"/>
      <c r="G63" s="53"/>
      <c r="H63" s="53"/>
      <c r="J63" s="52" t="s">
        <v>51</v>
      </c>
      <c r="K63" s="52"/>
      <c r="L63" s="52"/>
      <c r="M63" s="52"/>
      <c r="N63" s="52"/>
    </row>
    <row r="64" spans="1:14" x14ac:dyDescent="0.25">
      <c r="B64" s="2" t="s">
        <v>42</v>
      </c>
      <c r="C64" s="4"/>
      <c r="D64" s="4"/>
      <c r="E64" s="4"/>
      <c r="F64" s="4"/>
      <c r="G64" s="4"/>
      <c r="H64" s="4" t="s">
        <v>50</v>
      </c>
      <c r="J64" s="4"/>
      <c r="K64" s="4"/>
      <c r="L64" s="4"/>
      <c r="M64" s="4"/>
      <c r="N64" s="4" t="s">
        <v>50</v>
      </c>
    </row>
    <row r="65" spans="2:14" x14ac:dyDescent="0.25">
      <c r="B65" s="8" t="s">
        <v>43</v>
      </c>
      <c r="C65" s="4" t="s">
        <v>49</v>
      </c>
      <c r="D65" s="4" t="s">
        <v>21</v>
      </c>
      <c r="E65" s="4" t="s">
        <v>32</v>
      </c>
      <c r="F65" s="5" t="s">
        <v>33</v>
      </c>
      <c r="G65" s="4" t="s">
        <v>8</v>
      </c>
      <c r="H65" s="4" t="s">
        <v>8</v>
      </c>
      <c r="J65" s="4" t="s">
        <v>21</v>
      </c>
      <c r="K65" s="4" t="s">
        <v>32</v>
      </c>
      <c r="L65" s="5" t="s">
        <v>33</v>
      </c>
      <c r="M65" s="4" t="s">
        <v>8</v>
      </c>
      <c r="N65" s="4" t="s">
        <v>8</v>
      </c>
    </row>
    <row r="66" spans="2:14" x14ac:dyDescent="0.25">
      <c r="B66" s="8">
        <f>+'10-Year Loss History'!B8</f>
        <v>2000</v>
      </c>
      <c r="C66" s="19">
        <f>'10-Year Loss History'!N8</f>
        <v>7618</v>
      </c>
      <c r="D66" s="19">
        <f ca="1">$C66*J66</f>
        <v>7800.2586021505376</v>
      </c>
      <c r="E66" s="19">
        <f t="shared" ref="E66:H75" ca="1" si="14">$C66*K66</f>
        <v>7986.8776923632786</v>
      </c>
      <c r="F66" s="19">
        <f t="shared" ca="1" si="14"/>
        <v>7982.5172043010753</v>
      </c>
      <c r="G66" s="19">
        <f t="shared" ca="1" si="14"/>
        <v>7828.2380804827171</v>
      </c>
      <c r="H66" s="19">
        <f t="shared" ca="1" si="14"/>
        <v>7945.2257334614533</v>
      </c>
      <c r="J66" s="10">
        <f ca="1">OFFSET($B$11,0,COUNT($B66:$B$75))</f>
        <v>1.0239247311827957</v>
      </c>
      <c r="K66" s="10">
        <f ca="1">OFFSET($B$12,0,COUNT($B66:$B$75))</f>
        <v>1.0484218551277604</v>
      </c>
      <c r="L66" s="10">
        <f ca="1">OFFSET($B$13,0,COUNT($B66:$B$75))</f>
        <v>1.0478494623655914</v>
      </c>
      <c r="M66" s="10">
        <f ca="1">OFFSET($B$14,0,COUNT($B66:$B$75))</f>
        <v>1.0275975427254813</v>
      </c>
      <c r="N66" s="10">
        <f ca="1">OFFSET($B$15,0,COUNT($B66:$B$75))</f>
        <v>1.0429542837308288</v>
      </c>
    </row>
    <row r="67" spans="2:14" x14ac:dyDescent="0.25">
      <c r="B67" s="8">
        <f>+'10-Year Loss History'!B9</f>
        <v>2001</v>
      </c>
      <c r="C67" s="19">
        <f>'10-Year Loss History'!N9</f>
        <v>7934</v>
      </c>
      <c r="D67" s="19">
        <f t="shared" ref="D67:D75" ca="1" si="15">$C67*J67</f>
        <v>8318.1789985836513</v>
      </c>
      <c r="E67" s="19">
        <f t="shared" ca="1" si="14"/>
        <v>8517.1891950551417</v>
      </c>
      <c r="F67" s="19">
        <f t="shared" ca="1" si="14"/>
        <v>8512.5391799630015</v>
      </c>
      <c r="G67" s="19">
        <f t="shared" ca="1" si="14"/>
        <v>8287.4827258997047</v>
      </c>
      <c r="H67" s="19">
        <f t="shared" ca="1" si="14"/>
        <v>8466.1641384700342</v>
      </c>
      <c r="J67" s="10">
        <f ca="1">OFFSET($B$11,0,COUNT($B67:$B$75))</f>
        <v>1.0484218551277604</v>
      </c>
      <c r="K67" s="10">
        <f ca="1">OFFSET($B$12,0,COUNT($B67:$B$75))</f>
        <v>1.07350506617786</v>
      </c>
      <c r="L67" s="10">
        <f ca="1">OFFSET($B$13,0,COUNT($B67:$B$75))</f>
        <v>1.0729189790727252</v>
      </c>
      <c r="M67" s="10">
        <f ca="1">OFFSET($B$14,0,COUNT($B67:$B$75))</f>
        <v>1.0445529021804518</v>
      </c>
      <c r="N67" s="10">
        <f ca="1">OFFSET($B$15,0,COUNT($B67:$B$75))</f>
        <v>1.0670738767922907</v>
      </c>
    </row>
    <row r="68" spans="2:14" x14ac:dyDescent="0.25">
      <c r="B68" s="8">
        <f>+'10-Year Loss History'!B10</f>
        <v>2002</v>
      </c>
      <c r="C68" s="19">
        <f>'10-Year Loss History'!N10</f>
        <v>8109</v>
      </c>
      <c r="D68" s="19">
        <f t="shared" ca="1" si="15"/>
        <v>8775.0601573167296</v>
      </c>
      <c r="E68" s="19">
        <f t="shared" ca="1" si="14"/>
        <v>8985.0011126933932</v>
      </c>
      <c r="F68" s="19">
        <f t="shared" ca="1" si="14"/>
        <v>8980.0956926281469</v>
      </c>
      <c r="G68" s="19">
        <f t="shared" ca="1" si="14"/>
        <v>8695.5889180498652</v>
      </c>
      <c r="H68" s="19">
        <f t="shared" ca="1" si="14"/>
        <v>8938.2561647274397</v>
      </c>
      <c r="J68" s="10">
        <f ca="1">OFFSET($B$11,0,COUNT($B68:$B$75))</f>
        <v>1.0821383841801369</v>
      </c>
      <c r="K68" s="10">
        <f ca="1">OFFSET($B$12,0,COUNT($B68:$B$75))</f>
        <v>1.1080282541242314</v>
      </c>
      <c r="L68" s="10">
        <f ca="1">OFFSET($B$13,0,COUNT($B68:$B$75))</f>
        <v>1.1074233188590636</v>
      </c>
      <c r="M68" s="10">
        <f ca="1">OFFSET($B$14,0,COUNT($B68:$B$75))</f>
        <v>1.0723380093784518</v>
      </c>
      <c r="N68" s="10">
        <f ca="1">OFFSET($B$15,0,COUNT($B68:$B$75))</f>
        <v>1.1022636779784734</v>
      </c>
    </row>
    <row r="69" spans="2:14" x14ac:dyDescent="0.25">
      <c r="B69" s="8">
        <f>+'10-Year Loss History'!B11</f>
        <v>2003</v>
      </c>
      <c r="C69" s="19">
        <f>'10-Year Loss History'!N11</f>
        <v>8040</v>
      </c>
      <c r="D69" s="19">
        <f t="shared" ca="1" si="15"/>
        <v>9106.1786573621557</v>
      </c>
      <c r="E69" s="19">
        <f t="shared" ca="1" si="14"/>
        <v>9324.0415338420571</v>
      </c>
      <c r="F69" s="19">
        <f t="shared" ca="1" si="14"/>
        <v>9318.9510124436038</v>
      </c>
      <c r="G69" s="19">
        <f t="shared" ca="1" si="14"/>
        <v>8992.3262920050693</v>
      </c>
      <c r="H69" s="19">
        <f t="shared" ca="1" si="14"/>
        <v>9268.8590361574752</v>
      </c>
      <c r="J69" s="10">
        <f ca="1">OFFSET($B$11,0,COUNT($B69:$B$75))</f>
        <v>1.1326092857415617</v>
      </c>
      <c r="K69" s="10">
        <f ca="1">OFFSET($B$12,0,COUNT($B69:$B$75))</f>
        <v>1.1597066584380669</v>
      </c>
      <c r="L69" s="10">
        <f ca="1">OFFSET($B$13,0,COUNT($B69:$B$75))</f>
        <v>1.1590735090103985</v>
      </c>
      <c r="M69" s="10">
        <f ca="1">OFFSET($B$14,0,COUNT($B69:$B$75))</f>
        <v>1.1184485437817251</v>
      </c>
      <c r="N69" s="10">
        <f ca="1">OFFSET($B$15,0,COUNT($B69:$B$75))</f>
        <v>1.1528431637011785</v>
      </c>
    </row>
    <row r="70" spans="2:14" x14ac:dyDescent="0.25">
      <c r="B70" s="8">
        <f>+'10-Year Loss History'!B12</f>
        <v>2004</v>
      </c>
      <c r="C70" s="19">
        <f>'10-Year Loss History'!N12</f>
        <v>7479</v>
      </c>
      <c r="D70" s="19">
        <f t="shared" ca="1" si="15"/>
        <v>9099.5000970983274</v>
      </c>
      <c r="E70" s="19">
        <f t="shared" ca="1" si="14"/>
        <v>9317.2031908192293</v>
      </c>
      <c r="F70" s="19">
        <f t="shared" ca="1" si="14"/>
        <v>9312.11640285883</v>
      </c>
      <c r="G70" s="19">
        <f t="shared" ca="1" si="14"/>
        <v>8948.7450497377795</v>
      </c>
      <c r="H70" s="19">
        <f t="shared" ca="1" si="14"/>
        <v>9294.7291866970809</v>
      </c>
      <c r="J70" s="10">
        <f ca="1">OFFSET($B$11,0,COUNT($B70:$B$75))</f>
        <v>1.2166733650352088</v>
      </c>
      <c r="K70" s="10">
        <f ca="1">OFFSET($B$12,0,COUNT($B70:$B$75))</f>
        <v>1.2457819482309438</v>
      </c>
      <c r="L70" s="10">
        <f ca="1">OFFSET($B$13,0,COUNT($B70:$B$75))</f>
        <v>1.2451018054363991</v>
      </c>
      <c r="M70" s="10">
        <f ca="1">OFFSET($B$14,0,COUNT($B70:$B$75))</f>
        <v>1.1965162521376895</v>
      </c>
      <c r="N70" s="10">
        <f ca="1">OFFSET($B$15,0,COUNT($B70:$B$75))</f>
        <v>1.2427770004943282</v>
      </c>
    </row>
    <row r="71" spans="2:14" x14ac:dyDescent="0.25">
      <c r="B71" s="8">
        <f>+'10-Year Loss History'!B13</f>
        <v>2005</v>
      </c>
      <c r="C71" s="19">
        <f>'10-Year Loss History'!N13</f>
        <v>6793</v>
      </c>
      <c r="D71" s="19">
        <f t="shared" ca="1" si="15"/>
        <v>9145.4538957913792</v>
      </c>
      <c r="E71" s="19">
        <f t="shared" ca="1" si="14"/>
        <v>9364.256421792843</v>
      </c>
      <c r="F71" s="19">
        <f t="shared" ca="1" si="14"/>
        <v>9359.1439448135479</v>
      </c>
      <c r="G71" s="19">
        <f t="shared" ca="1" si="14"/>
        <v>9055.3322729493339</v>
      </c>
      <c r="H71" s="19">
        <f t="shared" ca="1" si="14"/>
        <v>9596.2501443826386</v>
      </c>
      <c r="J71" s="10">
        <f ca="1">OFFSET($B$11,0,COUNT($B71:$B$75))</f>
        <v>1.3463055933742647</v>
      </c>
      <c r="K71" s="10">
        <f ca="1">OFFSET($B$12,0,COUNT($B71:$B$75))</f>
        <v>1.3785155927856385</v>
      </c>
      <c r="L71" s="10">
        <f ca="1">OFFSET($B$13,0,COUNT($B71:$B$75))</f>
        <v>1.3777629831905709</v>
      </c>
      <c r="M71" s="10">
        <f ca="1">OFFSET($B$14,0,COUNT($B71:$B$75))</f>
        <v>1.3330387565066</v>
      </c>
      <c r="N71" s="10">
        <f ca="1">OFFSET($B$15,0,COUNT($B71:$B$75))</f>
        <v>1.4126674730432267</v>
      </c>
    </row>
    <row r="72" spans="2:14" x14ac:dyDescent="0.25">
      <c r="B72" s="8">
        <f>+'10-Year Loss History'!B14</f>
        <v>2006</v>
      </c>
      <c r="C72" s="19">
        <f>'10-Year Loss History'!N14</f>
        <v>6285</v>
      </c>
      <c r="D72" s="19">
        <f t="shared" ca="1" si="15"/>
        <v>10018.781986146627</v>
      </c>
      <c r="E72" s="19">
        <f t="shared" ca="1" si="14"/>
        <v>10258.478651944222</v>
      </c>
      <c r="F72" s="19">
        <f t="shared" ca="1" si="14"/>
        <v>10252.877968495552</v>
      </c>
      <c r="G72" s="19">
        <f t="shared" ca="1" si="14"/>
        <v>9960.7808522832293</v>
      </c>
      <c r="H72" s="19">
        <f t="shared" ca="1" si="14"/>
        <v>10651.74479976277</v>
      </c>
      <c r="J72" s="10">
        <f ca="1">OFFSET($B$11,0,COUNT($B72:$B$75))</f>
        <v>1.5940782794187156</v>
      </c>
      <c r="K72" s="10">
        <f ca="1">OFFSET($B$12,0,COUNT($B72:$B$75))</f>
        <v>1.632216173738142</v>
      </c>
      <c r="L72" s="10">
        <f ca="1">OFFSET($B$13,0,COUNT($B72:$B$75))</f>
        <v>1.6313250546532303</v>
      </c>
      <c r="M72" s="10">
        <f ca="1">OFFSET($B$14,0,COUNT($B72:$B$75))</f>
        <v>1.5848497776106969</v>
      </c>
      <c r="N72" s="10">
        <f ca="1">OFFSET($B$15,0,COUNT($B72:$B$75))</f>
        <v>1.6947883531842116</v>
      </c>
    </row>
    <row r="73" spans="2:14" x14ac:dyDescent="0.25">
      <c r="B73" s="8">
        <f>+'10-Year Loss History'!B15</f>
        <v>2007</v>
      </c>
      <c r="C73" s="19">
        <f>'10-Year Loss History'!N15</f>
        <v>5006</v>
      </c>
      <c r="D73" s="19">
        <f t="shared" ca="1" si="15"/>
        <v>10538.767771561794</v>
      </c>
      <c r="E73" s="19">
        <f t="shared" ca="1" si="14"/>
        <v>10790.90495749432</v>
      </c>
      <c r="F73" s="19">
        <f t="shared" ca="1" si="14"/>
        <v>10785.013592425274</v>
      </c>
      <c r="G73" s="19">
        <f t="shared" ca="1" si="14"/>
        <v>10467.00691187857</v>
      </c>
      <c r="H73" s="19">
        <f t="shared" ca="1" si="14"/>
        <v>11333.161632009063</v>
      </c>
      <c r="J73" s="10">
        <f ca="1">OFFSET($B$11,0,COUNT($B73:$B$75))</f>
        <v>2.1052272815744693</v>
      </c>
      <c r="K73" s="10">
        <f ca="1">OFFSET($B$12,0,COUNT($B73:$B$75))</f>
        <v>2.1555942783648261</v>
      </c>
      <c r="L73" s="10">
        <f ca="1">OFFSET($B$13,0,COUNT($B73:$B$75))</f>
        <v>2.1544174175839541</v>
      </c>
      <c r="M73" s="10">
        <f ca="1">OFFSET($B$14,0,COUNT($B73:$B$75))</f>
        <v>2.0908923116017921</v>
      </c>
      <c r="N73" s="10">
        <f ca="1">OFFSET($B$15,0,COUNT($B73:$B$75))</f>
        <v>2.2639156276486343</v>
      </c>
    </row>
    <row r="74" spans="2:14" x14ac:dyDescent="0.25">
      <c r="B74" s="8">
        <f>+'10-Year Loss History'!B16</f>
        <v>2008</v>
      </c>
      <c r="C74" s="19">
        <f>'10-Year Loss History'!N16</f>
        <v>2775</v>
      </c>
      <c r="D74" s="19">
        <f t="shared" ca="1" si="15"/>
        <v>9111.0651762828566</v>
      </c>
      <c r="E74" s="19">
        <f t="shared" ca="1" si="14"/>
        <v>9329.0449614143545</v>
      </c>
      <c r="F74" s="19">
        <f t="shared" ca="1" si="14"/>
        <v>9323.9517083619266</v>
      </c>
      <c r="G74" s="19">
        <f t="shared" ca="1" si="14"/>
        <v>9042.1892550606462</v>
      </c>
      <c r="H74" s="19">
        <f t="shared" ca="1" si="14"/>
        <v>9916.8744165713269</v>
      </c>
      <c r="J74" s="10">
        <f ca="1">OFFSET($B$11,0,COUNT($B74:$B$75))</f>
        <v>3.2832667301920204</v>
      </c>
      <c r="K74" s="10">
        <f ca="1">OFFSET($B$12,0,COUNT($B74:$B$75))</f>
        <v>3.3618180041132808</v>
      </c>
      <c r="L74" s="10">
        <f ca="1">OFFSET($B$13,0,COUNT($B74:$B$75))</f>
        <v>3.3599825976079014</v>
      </c>
      <c r="M74" s="10">
        <f ca="1">OFFSET($B$14,0,COUNT($B74:$B$75))</f>
        <v>3.2584465784002328</v>
      </c>
      <c r="N74" s="10">
        <f ca="1">OFFSET($B$15,0,COUNT($B74:$B$75))</f>
        <v>3.5736484384040819</v>
      </c>
    </row>
    <row r="75" spans="2:14" x14ac:dyDescent="0.25">
      <c r="B75" s="8">
        <f>+'10-Year Loss History'!B17</f>
        <v>2009</v>
      </c>
      <c r="C75" s="19">
        <f>'10-Year Loss History'!N17</f>
        <v>1321</v>
      </c>
      <c r="D75" s="19">
        <f t="shared" ca="1" si="15"/>
        <v>8825.065685807047</v>
      </c>
      <c r="E75" s="19">
        <f t="shared" ca="1" si="14"/>
        <v>9036.2030100104948</v>
      </c>
      <c r="F75" s="19">
        <f t="shared" ca="1" si="14"/>
        <v>9031.2696359348574</v>
      </c>
      <c r="G75" s="19">
        <f t="shared" ca="1" si="14"/>
        <v>8758.17881530673</v>
      </c>
      <c r="H75" s="19">
        <f t="shared" ca="1" si="14"/>
        <v>10724.765188670905</v>
      </c>
      <c r="J75" s="10">
        <f ca="1">OFFSET($B$11,0,COUNT($B75:$B$75))</f>
        <v>6.6805947659402323</v>
      </c>
      <c r="K75" s="10">
        <f ca="1">OFFSET($B$12,0,COUNT($B75:$B$75))</f>
        <v>6.8404261998565437</v>
      </c>
      <c r="L75" s="10">
        <f ca="1">OFFSET($B$13,0,COUNT($B75:$B$75))</f>
        <v>6.8366916244775604</v>
      </c>
      <c r="M75" s="10">
        <f ca="1">OFFSET($B$14,0,COUNT($B75:$B$75))</f>
        <v>6.6299612530709533</v>
      </c>
      <c r="N75" s="10">
        <f ca="1">OFFSET($B$15,0,COUNT($B75:$B$75))</f>
        <v>8.1186716038386866</v>
      </c>
    </row>
    <row r="76" spans="2:14" x14ac:dyDescent="0.25">
      <c r="J76" s="10"/>
      <c r="K76" s="10"/>
    </row>
    <row r="77" spans="2:14" x14ac:dyDescent="0.25">
      <c r="J77" s="10"/>
      <c r="K77" s="10"/>
    </row>
    <row r="78" spans="2:14" x14ac:dyDescent="0.25">
      <c r="J78" s="10"/>
      <c r="K78" s="10"/>
    </row>
    <row r="79" spans="2:14" x14ac:dyDescent="0.25">
      <c r="J79" s="10"/>
      <c r="K79" s="10"/>
    </row>
    <row r="110" spans="10:38" x14ac:dyDescent="0.25">
      <c r="J110" s="15"/>
      <c r="K110" s="15"/>
      <c r="L110" s="15"/>
      <c r="M110" s="15"/>
      <c r="N110" s="15"/>
      <c r="O110" s="37"/>
      <c r="P110" s="15"/>
    </row>
    <row r="111" spans="10:38" x14ac:dyDescent="0.25"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</row>
  </sheetData>
  <mergeCells count="10">
    <mergeCell ref="B1:L1"/>
    <mergeCell ref="B2:L2"/>
    <mergeCell ref="B4:L4"/>
    <mergeCell ref="D40:L40"/>
    <mergeCell ref="J63:N63"/>
    <mergeCell ref="D63:H63"/>
    <mergeCell ref="B34:C34"/>
    <mergeCell ref="B35:C35"/>
    <mergeCell ref="B33:C33"/>
    <mergeCell ref="B56:C56"/>
  </mergeCells>
  <printOptions horizontalCentered="1"/>
  <pageMargins left="0.25" right="0.25" top="1" bottom="1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10-Year Loss History</vt:lpstr>
      <vt:lpstr>BondyTest</vt:lpstr>
      <vt:lpstr>'10-Year Loss History'!Print_Area</vt:lpstr>
      <vt:lpstr>'10-Year Loss History'!Print_Titles</vt:lpstr>
    </vt:vector>
  </TitlesOfParts>
  <Company>Auto-Owners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Auto-Owners Insurance Company</dc:creator>
  <cp:lastModifiedBy>Alison Khan</cp:lastModifiedBy>
  <cp:lastPrinted>2008-05-22T20:48:50Z</cp:lastPrinted>
  <dcterms:created xsi:type="dcterms:W3CDTF">2008-02-08T17:54:28Z</dcterms:created>
  <dcterms:modified xsi:type="dcterms:W3CDTF">2023-12-04T20:11:15Z</dcterms:modified>
</cp:coreProperties>
</file>